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ase No. 2017-00179 Commission Staff Attachments and DR\Attachments\"/>
    </mc:Choice>
  </mc:AlternateContent>
  <bookViews>
    <workbookView xWindow="0" yWindow="0" windowWidth="17928" windowHeight="9732" firstSheet="1" activeTab="5"/>
  </bookViews>
  <sheets>
    <sheet name="Environmental" sheetId="25" r:id="rId1"/>
    <sheet name="IS" sheetId="24" r:id="rId2"/>
    <sheet name="Mitchell Retirements by Mth ADJ" sheetId="13" r:id="rId3"/>
    <sheet name="Rockport" sheetId="16" r:id="rId4"/>
    <sheet name="Non-FGD" sheetId="1" r:id="rId5"/>
    <sheet name="FGD" sheetId="3" r:id="rId6"/>
    <sheet name="Property Tax" sheetId="14" r:id="rId7"/>
    <sheet name="Allocation Factors" sheetId="2" r:id="rId8"/>
    <sheet name="3.15 " sheetId="26" r:id="rId9"/>
  </sheets>
  <externalReferences>
    <externalReference r:id="rId10"/>
    <externalReference r:id="rId11"/>
    <externalReference r:id="rId12"/>
  </externalReferences>
  <definedNames>
    <definedName name="_xlnm._FilterDatabase" localSheetId="2" hidden="1">'Mitchell Retirements by Mth ADJ'!$A$1:$S$109</definedName>
    <definedName name="AllocFactors">[1]Table!$G$6:$H$13</definedName>
    <definedName name="Begin_Print1" localSheetId="1">IS!#REF!</definedName>
    <definedName name="Begin_Print1">'[2]Big Sandy Detail'!#REF!</definedName>
    <definedName name="Begin_Print2">'[2]Big Sandy Detail'!#REF!</definedName>
    <definedName name="End_of_Report">'[2]Big Sandy Detail'!#REF!</definedName>
    <definedName name="End_Print1">'[2]Big Sandy Detail'!#REF!</definedName>
    <definedName name="End_Print2">'[2]Big Sandy Detail'!#REF!</definedName>
    <definedName name="Marshall_Rate">'[3]Property Tax'!$B$2</definedName>
    <definedName name="NvsASD" localSheetId="1">"V2017-02-28"</definedName>
    <definedName name="NvsASD">"V2013-03-31"</definedName>
    <definedName name="NvsAutoDrillOk">"VN"</definedName>
    <definedName name="NvsDrillHyperLink" localSheetId="1">"https://psfinweb.aepsc.com/psp/fcm90prd_newwin/EMPLOYEE/ERP/c/REPORT_BOOKS.IC_RUN_DRILLDOWN.GBL?Action=A&amp;NVS_INSTANCE=8241053_8564683"</definedName>
    <definedName name="NvsElapsedTime" localSheetId="1">0.00266203703358769</definedName>
    <definedName name="NvsElapsedTime">0.000115740738692693</definedName>
    <definedName name="NvsEndTime" localSheetId="1">42803.6023263889</definedName>
    <definedName name="NvsEndTime">41370.633587963</definedName>
    <definedName name="NvsInstanceHook" localSheetId="1">"nvsMacro1"</definedName>
    <definedName name="NvsInstanceHook">"""nvsMacro"""</definedName>
    <definedName name="NvsInstLang">"VENG"</definedName>
    <definedName name="NvsInstSpec" localSheetId="1">"%,FBUSINESS_UNIT,TGL_PRPT_CONS,NKYP_CORP_CONSOL"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SheetType" localSheetId="1">"M"</definedName>
    <definedName name="NvsTransLed">"VN"</definedName>
    <definedName name="NvsTree.GL_FERC_ACCT" localSheetId="1">"YSNYN"</definedName>
    <definedName name="NvsTree.GL_PRPT_CONS">"NNNNN"</definedName>
    <definedName name="NvsTree.PRPT_ACCOUNT" localSheetId="1">"YSNYN"</definedName>
    <definedName name="NvsTreeASD" localSheetId="1">"V2017-02-28"</definedName>
    <definedName name="NvsTreeASD">"V2099-01-01"</definedName>
    <definedName name="NvsValTbl.ACCOUNT">"GL_ACCOUNT_TBL"</definedName>
    <definedName name="NvsValTbl.CURRENCY_CD">"CURRENCY_CD_TBL"</definedName>
    <definedName name="OPR_ID">IS!$C$698</definedName>
    <definedName name="PC_Percent">'[3]Property Tax'!$B$6</definedName>
    <definedName name="_xlnm.Print_Area" localSheetId="1">IS!#REF!</definedName>
    <definedName name="_xlnm.Print_Area" localSheetId="4">'Non-FGD'!$A$1:$N$41</definedName>
    <definedName name="_xlnm.Print_Titles" localSheetId="1">IS!$B:$D,IS!$2:$6</definedName>
    <definedName name="Rev_End">IS!#REF!</definedName>
    <definedName name="search_directory_name">"R:\fcm90prd\nvision\rpts\Fin_Reports\"</definedName>
    <definedName name="tim" localSheetId="8">#REF!</definedName>
    <definedName name="tim">#REF!</definedName>
    <definedName name="WV_List">'[3]Property Tax'!$B$4</definedName>
  </definedNames>
  <calcPr calcId="152511" iterate="1"/>
</workbook>
</file>

<file path=xl/calcChain.xml><?xml version="1.0" encoding="utf-8"?>
<calcChain xmlns="http://schemas.openxmlformats.org/spreadsheetml/2006/main">
  <c r="P12" i="16" l="1"/>
  <c r="E24" i="16" l="1"/>
  <c r="F24" i="16"/>
  <c r="G24" i="16"/>
  <c r="H24" i="16"/>
  <c r="I24" i="16"/>
  <c r="J24" i="16"/>
  <c r="K24" i="16"/>
  <c r="L24" i="16"/>
  <c r="M24" i="16"/>
  <c r="N24" i="16"/>
  <c r="O24" i="16"/>
  <c r="P24" i="16"/>
  <c r="F42" i="1"/>
  <c r="G42" i="1"/>
  <c r="H42" i="1"/>
  <c r="I42" i="1"/>
  <c r="J42" i="1"/>
  <c r="K42" i="1"/>
  <c r="L42" i="1"/>
  <c r="M42" i="1"/>
  <c r="N42" i="1"/>
  <c r="O42" i="1"/>
  <c r="P42" i="1"/>
  <c r="E42" i="1"/>
  <c r="O12" i="16"/>
  <c r="F21" i="16"/>
  <c r="G21" i="16"/>
  <c r="H21" i="16"/>
  <c r="I21" i="16"/>
  <c r="J21" i="16"/>
  <c r="K21" i="16"/>
  <c r="L21" i="16"/>
  <c r="M21" i="16"/>
  <c r="N21" i="16"/>
  <c r="O21" i="16"/>
  <c r="P21" i="16"/>
  <c r="E21" i="16"/>
  <c r="F8" i="16"/>
  <c r="G8" i="16"/>
  <c r="H8" i="16"/>
  <c r="I8" i="16"/>
  <c r="J8" i="16"/>
  <c r="K8" i="16"/>
  <c r="L8" i="16"/>
  <c r="M8" i="16"/>
  <c r="N8" i="16"/>
  <c r="O8" i="16"/>
  <c r="P8" i="16"/>
  <c r="E8" i="16"/>
  <c r="P29" i="1"/>
  <c r="H35" i="3"/>
  <c r="H14" i="3" l="1"/>
  <c r="I14" i="3"/>
  <c r="L14" i="3"/>
  <c r="M14" i="3"/>
  <c r="P14" i="3"/>
  <c r="E14" i="3"/>
  <c r="I35" i="3"/>
  <c r="J35" i="3"/>
  <c r="K35" i="3"/>
  <c r="L35" i="3"/>
  <c r="M35" i="3"/>
  <c r="N35" i="3"/>
  <c r="O35" i="3"/>
  <c r="P35" i="3"/>
  <c r="G35" i="3"/>
  <c r="F35" i="3"/>
  <c r="F33" i="3"/>
  <c r="F38" i="3" s="1"/>
  <c r="G33" i="3"/>
  <c r="G38" i="3" s="1"/>
  <c r="H33" i="3"/>
  <c r="H38" i="3" s="1"/>
  <c r="I33" i="3"/>
  <c r="I38" i="3" s="1"/>
  <c r="J33" i="3"/>
  <c r="J38" i="3" s="1"/>
  <c r="K33" i="3"/>
  <c r="K38" i="3" s="1"/>
  <c r="L33" i="3"/>
  <c r="M33" i="3"/>
  <c r="M38" i="3" s="1"/>
  <c r="N33" i="3"/>
  <c r="N38" i="3" s="1"/>
  <c r="O33" i="3"/>
  <c r="O38" i="3" s="1"/>
  <c r="P33" i="3"/>
  <c r="E33" i="3"/>
  <c r="E38" i="3" s="1"/>
  <c r="F8" i="3"/>
  <c r="F14" i="3" s="1"/>
  <c r="G8" i="3"/>
  <c r="G14" i="3" s="1"/>
  <c r="H8" i="3"/>
  <c r="I8" i="3"/>
  <c r="J8" i="3"/>
  <c r="J14" i="3" s="1"/>
  <c r="K8" i="3"/>
  <c r="K14" i="3" s="1"/>
  <c r="L8" i="3"/>
  <c r="M8" i="3"/>
  <c r="N8" i="3"/>
  <c r="N14" i="3" s="1"/>
  <c r="O8" i="3"/>
  <c r="O14" i="3" s="1"/>
  <c r="P8" i="3"/>
  <c r="E8" i="3"/>
  <c r="P38" i="3" l="1"/>
  <c r="L38" i="3"/>
  <c r="F33" i="1"/>
  <c r="E33" i="1"/>
  <c r="E16" i="1"/>
  <c r="F35" i="1" l="1"/>
  <c r="G35" i="1"/>
  <c r="H35" i="1"/>
  <c r="I35" i="1"/>
  <c r="J35" i="1"/>
  <c r="K35" i="1"/>
  <c r="L35" i="1"/>
  <c r="M35" i="1"/>
  <c r="N35" i="1"/>
  <c r="O35" i="1"/>
  <c r="P35" i="1"/>
  <c r="H33" i="1"/>
  <c r="I33" i="1"/>
  <c r="J33" i="1"/>
  <c r="K33" i="1"/>
  <c r="L33" i="1"/>
  <c r="M33" i="1"/>
  <c r="N33" i="1"/>
  <c r="O33" i="1"/>
  <c r="P33" i="1"/>
  <c r="G33" i="1"/>
  <c r="F8" i="1"/>
  <c r="F14" i="1" s="1"/>
  <c r="G8" i="1"/>
  <c r="G14" i="1" s="1"/>
  <c r="H8" i="1"/>
  <c r="H14" i="1" s="1"/>
  <c r="I8" i="1"/>
  <c r="I14" i="1" s="1"/>
  <c r="J8" i="1"/>
  <c r="J14" i="1" s="1"/>
  <c r="K8" i="1"/>
  <c r="K14" i="1" s="1"/>
  <c r="L8" i="1"/>
  <c r="L14" i="1" s="1"/>
  <c r="M8" i="1"/>
  <c r="M14" i="1" s="1"/>
  <c r="N8" i="1"/>
  <c r="N14" i="1" s="1"/>
  <c r="O8" i="1"/>
  <c r="O14" i="1" s="1"/>
  <c r="P8" i="1"/>
  <c r="P14" i="1" s="1"/>
  <c r="E8" i="1"/>
  <c r="E14" i="1" s="1"/>
  <c r="B40" i="26" l="1"/>
  <c r="B42" i="26" s="1"/>
  <c r="B38" i="26"/>
  <c r="O32" i="26"/>
  <c r="O42" i="26" s="1"/>
  <c r="S30" i="26"/>
  <c r="S28" i="26"/>
  <c r="S26" i="26"/>
  <c r="F18" i="26"/>
  <c r="H16" i="26" s="1"/>
  <c r="M16" i="26" s="1"/>
  <c r="B14" i="26"/>
  <c r="B15" i="26" s="1"/>
  <c r="B16" i="26" s="1"/>
  <c r="B18" i="26" s="1"/>
  <c r="H13" i="26"/>
  <c r="D25" i="16" l="1"/>
  <c r="D39" i="3"/>
  <c r="D43" i="1"/>
  <c r="S32" i="26"/>
  <c r="O14" i="26"/>
  <c r="O13" i="26"/>
  <c r="O15" i="26"/>
  <c r="S34" i="26"/>
  <c r="S36" i="26" s="1"/>
  <c r="H18" i="26"/>
  <c r="M13" i="26"/>
  <c r="S13" i="26" s="1"/>
  <c r="H14" i="26"/>
  <c r="M14" i="26" s="1"/>
  <c r="H15" i="26"/>
  <c r="M15" i="26" s="1"/>
  <c r="G43" i="1" l="1"/>
  <c r="K43" i="1"/>
  <c r="O43" i="1"/>
  <c r="H43" i="1"/>
  <c r="L43" i="1"/>
  <c r="P43" i="1"/>
  <c r="I43" i="1"/>
  <c r="M43" i="1"/>
  <c r="E43" i="1"/>
  <c r="F43" i="1"/>
  <c r="J43" i="1"/>
  <c r="N43" i="1"/>
  <c r="O39" i="3"/>
  <c r="O40" i="3" s="1"/>
  <c r="J39" i="3"/>
  <c r="J40" i="3" s="1"/>
  <c r="I39" i="3"/>
  <c r="I40" i="3" s="1"/>
  <c r="K39" i="3"/>
  <c r="K40" i="3" s="1"/>
  <c r="F39" i="3"/>
  <c r="F40" i="3" s="1"/>
  <c r="H39" i="3"/>
  <c r="H40" i="3" s="1"/>
  <c r="G39" i="3"/>
  <c r="G40" i="3" s="1"/>
  <c r="E39" i="3"/>
  <c r="E40" i="3" s="1"/>
  <c r="M39" i="3"/>
  <c r="M40" i="3" s="1"/>
  <c r="N39" i="3"/>
  <c r="N40" i="3" s="1"/>
  <c r="L39" i="3"/>
  <c r="L40" i="3" s="1"/>
  <c r="P39" i="3"/>
  <c r="P40" i="3" s="1"/>
  <c r="F25" i="16"/>
  <c r="F26" i="16" s="1"/>
  <c r="F27" i="16" s="1"/>
  <c r="N25" i="16"/>
  <c r="N26" i="16" s="1"/>
  <c r="N27" i="16" s="1"/>
  <c r="I25" i="16"/>
  <c r="I26" i="16" s="1"/>
  <c r="I27" i="16" s="1"/>
  <c r="E25" i="16"/>
  <c r="E26" i="16" s="1"/>
  <c r="E27" i="16" s="1"/>
  <c r="J25" i="16"/>
  <c r="J26" i="16" s="1"/>
  <c r="J27" i="16" s="1"/>
  <c r="M25" i="16"/>
  <c r="M26" i="16" s="1"/>
  <c r="M27" i="16" s="1"/>
  <c r="P25" i="16"/>
  <c r="P26" i="16" s="1"/>
  <c r="P27" i="16" s="1"/>
  <c r="K25" i="16"/>
  <c r="K26" i="16" s="1"/>
  <c r="K27" i="16" s="1"/>
  <c r="L25" i="16"/>
  <c r="L26" i="16" s="1"/>
  <c r="L27" i="16" s="1"/>
  <c r="G25" i="16"/>
  <c r="G26" i="16" s="1"/>
  <c r="G27" i="16" s="1"/>
  <c r="H25" i="16"/>
  <c r="H26" i="16" s="1"/>
  <c r="H27" i="16" s="1"/>
  <c r="O25" i="16"/>
  <c r="O26" i="16" s="1"/>
  <c r="O27" i="16" s="1"/>
  <c r="S38" i="26"/>
  <c r="S40" i="26"/>
  <c r="S42" i="26" s="1"/>
  <c r="O16" i="26" s="1"/>
  <c r="S16" i="26" s="1"/>
  <c r="S15" i="26"/>
  <c r="S14" i="26"/>
  <c r="S18" i="26" l="1"/>
  <c r="P16" i="1"/>
  <c r="O16" i="1"/>
  <c r="N16" i="1"/>
  <c r="M16" i="1"/>
  <c r="L16" i="1"/>
  <c r="K16" i="1"/>
  <c r="J16" i="1"/>
  <c r="I16" i="1"/>
  <c r="H16" i="1"/>
  <c r="G16" i="1"/>
  <c r="F16" i="1"/>
  <c r="E17" i="3" l="1"/>
  <c r="E29" i="3" s="1"/>
  <c r="E32" i="3"/>
  <c r="E36" i="3"/>
  <c r="E37" i="3" l="1"/>
  <c r="O21" i="25" l="1"/>
  <c r="N21" i="25"/>
  <c r="L21" i="25"/>
  <c r="K21" i="25"/>
  <c r="J21" i="25"/>
  <c r="H21" i="25"/>
  <c r="G21" i="25"/>
  <c r="F21" i="25"/>
  <c r="H75" i="25" l="1"/>
  <c r="P33" i="25"/>
  <c r="P57" i="25"/>
  <c r="P69" i="25"/>
  <c r="L75" i="25"/>
  <c r="P25" i="25"/>
  <c r="P29" i="25"/>
  <c r="P37" i="25"/>
  <c r="P41" i="25"/>
  <c r="P45" i="25"/>
  <c r="P49" i="25"/>
  <c r="P53" i="25"/>
  <c r="P61" i="25"/>
  <c r="P65" i="25"/>
  <c r="P73" i="25"/>
  <c r="C75" i="25"/>
  <c r="G75" i="25"/>
  <c r="K75" i="25"/>
  <c r="O75" i="25"/>
  <c r="P13" i="25"/>
  <c r="P17" i="25"/>
  <c r="P19" i="25"/>
  <c r="P20" i="25"/>
  <c r="D21" i="25"/>
  <c r="D75" i="25" s="1"/>
  <c r="E21" i="25"/>
  <c r="E75" i="25" s="1"/>
  <c r="I21" i="25"/>
  <c r="I75" i="25" s="1"/>
  <c r="M21" i="25"/>
  <c r="M75" i="25" s="1"/>
  <c r="P23" i="25"/>
  <c r="P27" i="25"/>
  <c r="P31" i="25"/>
  <c r="P35" i="25"/>
  <c r="P39" i="25"/>
  <c r="P43" i="25"/>
  <c r="P47" i="25"/>
  <c r="P51" i="25"/>
  <c r="P55" i="25"/>
  <c r="P59" i="25"/>
  <c r="P63" i="25"/>
  <c r="P67" i="25"/>
  <c r="P71" i="25"/>
  <c r="B75" i="25"/>
  <c r="P15" i="25"/>
  <c r="F75" i="25"/>
  <c r="J75" i="25"/>
  <c r="N75" i="25"/>
  <c r="P75" i="25" l="1"/>
  <c r="P21" i="25"/>
  <c r="C709" i="24" l="1"/>
  <c r="C697" i="24"/>
  <c r="AV676" i="24"/>
  <c r="AP676" i="24"/>
  <c r="AE676" i="24"/>
  <c r="W676" i="24"/>
  <c r="R676" i="24"/>
  <c r="X674" i="24"/>
  <c r="Y674" i="24" s="1"/>
  <c r="S674" i="24"/>
  <c r="T674" i="24" s="1"/>
  <c r="M674" i="24"/>
  <c r="N674" i="24" s="1"/>
  <c r="H674" i="24"/>
  <c r="I674" i="24" s="1"/>
  <c r="BA672" i="24"/>
  <c r="BA676" i="24" s="1"/>
  <c r="AZ672" i="24"/>
  <c r="AZ676" i="24" s="1"/>
  <c r="AY672" i="24"/>
  <c r="AY676" i="24" s="1"/>
  <c r="AX672" i="24"/>
  <c r="AX676" i="24" s="1"/>
  <c r="AW672" i="24"/>
  <c r="AW676" i="24" s="1"/>
  <c r="AV672" i="24"/>
  <c r="AU672" i="24"/>
  <c r="AU676" i="24" s="1"/>
  <c r="AT672" i="24"/>
  <c r="AT676" i="24" s="1"/>
  <c r="AS672" i="24"/>
  <c r="AS676" i="24" s="1"/>
  <c r="AR672" i="24"/>
  <c r="AR676" i="24" s="1"/>
  <c r="AQ672" i="24"/>
  <c r="AQ676" i="24" s="1"/>
  <c r="AP672" i="24"/>
  <c r="AN672" i="24"/>
  <c r="AN676" i="24" s="1"/>
  <c r="AM672" i="24"/>
  <c r="AM676" i="24" s="1"/>
  <c r="AL672" i="24"/>
  <c r="AL676" i="24" s="1"/>
  <c r="AK672" i="24"/>
  <c r="AK676" i="24" s="1"/>
  <c r="AJ672" i="24"/>
  <c r="AJ676" i="24" s="1"/>
  <c r="AI672" i="24"/>
  <c r="AI676" i="24" s="1"/>
  <c r="AH672" i="24"/>
  <c r="AH676" i="24" s="1"/>
  <c r="AG672" i="24"/>
  <c r="AG676" i="24" s="1"/>
  <c r="AF672" i="24"/>
  <c r="AF676" i="24" s="1"/>
  <c r="AE672" i="24"/>
  <c r="AD672" i="24"/>
  <c r="AD676" i="24" s="1"/>
  <c r="AC672" i="24"/>
  <c r="AC676" i="24" s="1"/>
  <c r="AA672" i="24"/>
  <c r="AA676" i="24" s="1"/>
  <c r="W672" i="24"/>
  <c r="V672" i="24"/>
  <c r="V676" i="24" s="1"/>
  <c r="R672" i="24"/>
  <c r="Q672" i="24"/>
  <c r="Q676" i="24" s="1"/>
  <c r="L672" i="24"/>
  <c r="L676" i="24" s="1"/>
  <c r="K672" i="24"/>
  <c r="K676" i="24" s="1"/>
  <c r="G672" i="24"/>
  <c r="G676" i="24" s="1"/>
  <c r="F672" i="24"/>
  <c r="F676" i="24" s="1"/>
  <c r="X670" i="24"/>
  <c r="Y670" i="24" s="1"/>
  <c r="S670" i="24"/>
  <c r="T670" i="24" s="1"/>
  <c r="M670" i="24"/>
  <c r="N670" i="24" s="1"/>
  <c r="H670" i="24"/>
  <c r="I670" i="24" s="1"/>
  <c r="X668" i="24"/>
  <c r="Y668" i="24" s="1"/>
  <c r="S668" i="24"/>
  <c r="T668" i="24" s="1"/>
  <c r="M668" i="24"/>
  <c r="N668" i="24" s="1"/>
  <c r="H668" i="24"/>
  <c r="I668" i="24" s="1"/>
  <c r="BA664" i="24"/>
  <c r="AZ664" i="24"/>
  <c r="AY664" i="24"/>
  <c r="AX664" i="24"/>
  <c r="AW664" i="24"/>
  <c r="AV664" i="24"/>
  <c r="AU664" i="24"/>
  <c r="AT664" i="24"/>
  <c r="AS664" i="24"/>
  <c r="AR664" i="24"/>
  <c r="AQ664" i="24"/>
  <c r="AP664" i="24"/>
  <c r="AN664" i="24"/>
  <c r="AM664" i="24"/>
  <c r="AL664" i="24"/>
  <c r="AK664" i="24"/>
  <c r="AJ664" i="24"/>
  <c r="AI664" i="24"/>
  <c r="AH664" i="24"/>
  <c r="AG664" i="24"/>
  <c r="AF664" i="24"/>
  <c r="AE664" i="24"/>
  <c r="AD664" i="24"/>
  <c r="AC664" i="24"/>
  <c r="AA664" i="24"/>
  <c r="W664" i="24"/>
  <c r="V664" i="24"/>
  <c r="X664" i="24" s="1"/>
  <c r="Y664" i="24" s="1"/>
  <c r="R664" i="24"/>
  <c r="Q664" i="24"/>
  <c r="L664" i="24"/>
  <c r="K664" i="24"/>
  <c r="M664" i="24" s="1"/>
  <c r="N664" i="24" s="1"/>
  <c r="G664" i="24"/>
  <c r="F664" i="24"/>
  <c r="X662" i="24"/>
  <c r="Y662" i="24" s="1"/>
  <c r="S662" i="24"/>
  <c r="T662" i="24" s="1"/>
  <c r="M662" i="24"/>
  <c r="N662" i="24" s="1"/>
  <c r="H662" i="24"/>
  <c r="I662" i="24" s="1"/>
  <c r="X661" i="24"/>
  <c r="Y661" i="24" s="1"/>
  <c r="S661" i="24"/>
  <c r="T661" i="24" s="1"/>
  <c r="M661" i="24"/>
  <c r="N661" i="24" s="1"/>
  <c r="H661" i="24"/>
  <c r="I661" i="24" s="1"/>
  <c r="X659" i="24"/>
  <c r="Y659" i="24" s="1"/>
  <c r="S659" i="24"/>
  <c r="T659" i="24" s="1"/>
  <c r="M659" i="24"/>
  <c r="N659" i="24" s="1"/>
  <c r="H659" i="24"/>
  <c r="I659" i="24" s="1"/>
  <c r="X658" i="24"/>
  <c r="Y658" i="24" s="1"/>
  <c r="S658" i="24"/>
  <c r="T658" i="24" s="1"/>
  <c r="M658" i="24"/>
  <c r="N658" i="24" s="1"/>
  <c r="H658" i="24"/>
  <c r="I658" i="24" s="1"/>
  <c r="X657" i="24"/>
  <c r="Y657" i="24" s="1"/>
  <c r="S657" i="24"/>
  <c r="T657" i="24" s="1"/>
  <c r="M657" i="24"/>
  <c r="N657" i="24" s="1"/>
  <c r="H657" i="24"/>
  <c r="I657" i="24" s="1"/>
  <c r="X656" i="24"/>
  <c r="Y656" i="24" s="1"/>
  <c r="S656" i="24"/>
  <c r="T656" i="24" s="1"/>
  <c r="M656" i="24"/>
  <c r="N656" i="24" s="1"/>
  <c r="H656" i="24"/>
  <c r="I656" i="24" s="1"/>
  <c r="X655" i="24"/>
  <c r="Y655" i="24" s="1"/>
  <c r="S655" i="24"/>
  <c r="T655" i="24" s="1"/>
  <c r="M655" i="24"/>
  <c r="N655" i="24" s="1"/>
  <c r="H655" i="24"/>
  <c r="I655" i="24" s="1"/>
  <c r="X653" i="24"/>
  <c r="Y653" i="24" s="1"/>
  <c r="S653" i="24"/>
  <c r="T653" i="24" s="1"/>
  <c r="M653" i="24"/>
  <c r="N653" i="24" s="1"/>
  <c r="H653" i="24"/>
  <c r="I653" i="24" s="1"/>
  <c r="X652" i="24"/>
  <c r="Y652" i="24" s="1"/>
  <c r="S652" i="24"/>
  <c r="T652" i="24" s="1"/>
  <c r="M652" i="24"/>
  <c r="N652" i="24" s="1"/>
  <c r="H652" i="24"/>
  <c r="I652" i="24" s="1"/>
  <c r="X650" i="24"/>
  <c r="Y650" i="24" s="1"/>
  <c r="S650" i="24"/>
  <c r="T650" i="24" s="1"/>
  <c r="M650" i="24"/>
  <c r="N650" i="24" s="1"/>
  <c r="H650" i="24"/>
  <c r="I650" i="24" s="1"/>
  <c r="X648" i="24"/>
  <c r="Y648" i="24" s="1"/>
  <c r="S648" i="24"/>
  <c r="T648" i="24" s="1"/>
  <c r="M648" i="24"/>
  <c r="N648" i="24" s="1"/>
  <c r="H648" i="24"/>
  <c r="I648" i="24" s="1"/>
  <c r="X646" i="24"/>
  <c r="Y646" i="24" s="1"/>
  <c r="S646" i="24"/>
  <c r="T646" i="24" s="1"/>
  <c r="M646" i="24"/>
  <c r="N646" i="24" s="1"/>
  <c r="H646" i="24"/>
  <c r="I646" i="24" s="1"/>
  <c r="X645" i="24"/>
  <c r="Y645" i="24" s="1"/>
  <c r="S645" i="24"/>
  <c r="T645" i="24" s="1"/>
  <c r="M645" i="24"/>
  <c r="N645" i="24" s="1"/>
  <c r="H645" i="24"/>
  <c r="I645" i="24" s="1"/>
  <c r="X643" i="24"/>
  <c r="Y643" i="24" s="1"/>
  <c r="S643" i="24"/>
  <c r="T643" i="24" s="1"/>
  <c r="M643" i="24"/>
  <c r="N643" i="24" s="1"/>
  <c r="H643" i="24"/>
  <c r="I643" i="24" s="1"/>
  <c r="X642" i="24"/>
  <c r="Y642" i="24" s="1"/>
  <c r="S642" i="24"/>
  <c r="T642" i="24" s="1"/>
  <c r="M642" i="24"/>
  <c r="N642" i="24" s="1"/>
  <c r="H642" i="24"/>
  <c r="I642" i="24" s="1"/>
  <c r="X641" i="24"/>
  <c r="Y641" i="24" s="1"/>
  <c r="S641" i="24"/>
  <c r="T641" i="24" s="1"/>
  <c r="M641" i="24"/>
  <c r="N641" i="24" s="1"/>
  <c r="H641" i="24"/>
  <c r="I641" i="24" s="1"/>
  <c r="X640" i="24"/>
  <c r="Y640" i="24" s="1"/>
  <c r="S640" i="24"/>
  <c r="T640" i="24" s="1"/>
  <c r="M640" i="24"/>
  <c r="N640" i="24" s="1"/>
  <c r="H640" i="24"/>
  <c r="I640" i="24" s="1"/>
  <c r="X638" i="24"/>
  <c r="Y638" i="24" s="1"/>
  <c r="S638" i="24"/>
  <c r="T638" i="24" s="1"/>
  <c r="M638" i="24"/>
  <c r="N638" i="24" s="1"/>
  <c r="H638" i="24"/>
  <c r="I638" i="24" s="1"/>
  <c r="X637" i="24"/>
  <c r="Y637" i="24" s="1"/>
  <c r="S637" i="24"/>
  <c r="T637" i="24" s="1"/>
  <c r="M637" i="24"/>
  <c r="N637" i="24" s="1"/>
  <c r="H637" i="24"/>
  <c r="I637" i="24" s="1"/>
  <c r="X636" i="24"/>
  <c r="Y636" i="24" s="1"/>
  <c r="S636" i="24"/>
  <c r="T636" i="24" s="1"/>
  <c r="M636" i="24"/>
  <c r="N636" i="24" s="1"/>
  <c r="H636" i="24"/>
  <c r="I636" i="24" s="1"/>
  <c r="X635" i="24"/>
  <c r="Y635" i="24" s="1"/>
  <c r="S635" i="24"/>
  <c r="T635" i="24" s="1"/>
  <c r="M635" i="24"/>
  <c r="N635" i="24" s="1"/>
  <c r="H635" i="24"/>
  <c r="I635" i="24" s="1"/>
  <c r="AU631" i="24"/>
  <c r="AL631" i="24"/>
  <c r="AD631" i="24"/>
  <c r="X629" i="24"/>
  <c r="Y629" i="24" s="1"/>
  <c r="S629" i="24"/>
  <c r="T629" i="24" s="1"/>
  <c r="M629" i="24"/>
  <c r="N629" i="24" s="1"/>
  <c r="H629" i="24"/>
  <c r="I629" i="24" s="1"/>
  <c r="X627" i="24"/>
  <c r="Y627" i="24" s="1"/>
  <c r="S627" i="24"/>
  <c r="T627" i="24" s="1"/>
  <c r="M627" i="24"/>
  <c r="N627" i="24" s="1"/>
  <c r="H627" i="24"/>
  <c r="I627" i="24" s="1"/>
  <c r="X625" i="24"/>
  <c r="Y625" i="24" s="1"/>
  <c r="S625" i="24"/>
  <c r="T625" i="24" s="1"/>
  <c r="M625" i="24"/>
  <c r="N625" i="24" s="1"/>
  <c r="H625" i="24"/>
  <c r="I625" i="24" s="1"/>
  <c r="X624" i="24"/>
  <c r="Y624" i="24" s="1"/>
  <c r="S624" i="24"/>
  <c r="T624" i="24" s="1"/>
  <c r="M624" i="24"/>
  <c r="N624" i="24" s="1"/>
  <c r="H624" i="24"/>
  <c r="I624" i="24" s="1"/>
  <c r="X622" i="24"/>
  <c r="Y622" i="24" s="1"/>
  <c r="S622" i="24"/>
  <c r="T622" i="24" s="1"/>
  <c r="M622" i="24"/>
  <c r="N622" i="24" s="1"/>
  <c r="H622" i="24"/>
  <c r="I622" i="24" s="1"/>
  <c r="X621" i="24"/>
  <c r="Y621" i="24" s="1"/>
  <c r="S621" i="24"/>
  <c r="T621" i="24" s="1"/>
  <c r="M621" i="24"/>
  <c r="N621" i="24" s="1"/>
  <c r="H621" i="24"/>
  <c r="I621" i="24" s="1"/>
  <c r="X619" i="24"/>
  <c r="Y619" i="24" s="1"/>
  <c r="S619" i="24"/>
  <c r="T619" i="24" s="1"/>
  <c r="M619" i="24"/>
  <c r="N619" i="24" s="1"/>
  <c r="H619" i="24"/>
  <c r="I619" i="24" s="1"/>
  <c r="X618" i="24"/>
  <c r="Y618" i="24" s="1"/>
  <c r="S618" i="24"/>
  <c r="T618" i="24" s="1"/>
  <c r="M618" i="24"/>
  <c r="N618" i="24" s="1"/>
  <c r="H618" i="24"/>
  <c r="I618" i="24" s="1"/>
  <c r="X617" i="24"/>
  <c r="Y617" i="24" s="1"/>
  <c r="S617" i="24"/>
  <c r="T617" i="24" s="1"/>
  <c r="M617" i="24"/>
  <c r="N617" i="24" s="1"/>
  <c r="H617" i="24"/>
  <c r="I617" i="24" s="1"/>
  <c r="X616" i="24"/>
  <c r="Y616" i="24" s="1"/>
  <c r="S616" i="24"/>
  <c r="T616" i="24" s="1"/>
  <c r="M616" i="24"/>
  <c r="N616" i="24" s="1"/>
  <c r="H616" i="24"/>
  <c r="I616" i="24" s="1"/>
  <c r="X615" i="24"/>
  <c r="Y615" i="24" s="1"/>
  <c r="S615" i="24"/>
  <c r="T615" i="24" s="1"/>
  <c r="M615" i="24"/>
  <c r="N615" i="24" s="1"/>
  <c r="H615" i="24"/>
  <c r="I615" i="24" s="1"/>
  <c r="AT613" i="24"/>
  <c r="AT631" i="24" s="1"/>
  <c r="AP613" i="24"/>
  <c r="AP631" i="24" s="1"/>
  <c r="AG613" i="24"/>
  <c r="AG631" i="24" s="1"/>
  <c r="R613" i="24"/>
  <c r="R631" i="24" s="1"/>
  <c r="BA612" i="24"/>
  <c r="BA613" i="24" s="1"/>
  <c r="BA631" i="24" s="1"/>
  <c r="AZ612" i="24"/>
  <c r="AZ613" i="24" s="1"/>
  <c r="AZ631" i="24" s="1"/>
  <c r="AY612" i="24"/>
  <c r="AY613" i="24" s="1"/>
  <c r="AY631" i="24" s="1"/>
  <c r="AX612" i="24"/>
  <c r="AX613" i="24" s="1"/>
  <c r="AX631" i="24" s="1"/>
  <c r="AW612" i="24"/>
  <c r="AW613" i="24" s="1"/>
  <c r="AW631" i="24" s="1"/>
  <c r="AV612" i="24"/>
  <c r="AV613" i="24" s="1"/>
  <c r="AV631" i="24" s="1"/>
  <c r="AU612" i="24"/>
  <c r="AU613" i="24" s="1"/>
  <c r="AT612" i="24"/>
  <c r="AS612" i="24"/>
  <c r="AS613" i="24" s="1"/>
  <c r="AS631" i="24" s="1"/>
  <c r="AR612" i="24"/>
  <c r="AR613" i="24" s="1"/>
  <c r="AR631" i="24" s="1"/>
  <c r="AQ612" i="24"/>
  <c r="AQ613" i="24" s="1"/>
  <c r="AQ631" i="24" s="1"/>
  <c r="AP612" i="24"/>
  <c r="AN612" i="24"/>
  <c r="AN613" i="24" s="1"/>
  <c r="AN631" i="24" s="1"/>
  <c r="AM612" i="24"/>
  <c r="AM613" i="24" s="1"/>
  <c r="AM631" i="24" s="1"/>
  <c r="AL612" i="24"/>
  <c r="AL613" i="24" s="1"/>
  <c r="AK612" i="24"/>
  <c r="AK613" i="24" s="1"/>
  <c r="AK631" i="24" s="1"/>
  <c r="AJ612" i="24"/>
  <c r="AJ613" i="24" s="1"/>
  <c r="AJ631" i="24" s="1"/>
  <c r="AI612" i="24"/>
  <c r="AI613" i="24" s="1"/>
  <c r="AI631" i="24" s="1"/>
  <c r="AH612" i="24"/>
  <c r="AH613" i="24" s="1"/>
  <c r="AH631" i="24" s="1"/>
  <c r="AG612" i="24"/>
  <c r="AF612" i="24"/>
  <c r="AF613" i="24" s="1"/>
  <c r="AF631" i="24" s="1"/>
  <c r="AE612" i="24"/>
  <c r="AE613" i="24" s="1"/>
  <c r="AE631" i="24" s="1"/>
  <c r="AD612" i="24"/>
  <c r="AD613" i="24" s="1"/>
  <c r="AC612" i="24"/>
  <c r="AC613" i="24" s="1"/>
  <c r="AC631" i="24" s="1"/>
  <c r="AA612" i="24"/>
  <c r="AA613" i="24" s="1"/>
  <c r="AA631" i="24" s="1"/>
  <c r="W612" i="24"/>
  <c r="W613" i="24" s="1"/>
  <c r="V612" i="24"/>
  <c r="V613" i="24" s="1"/>
  <c r="R612" i="24"/>
  <c r="Q612" i="24"/>
  <c r="Q613" i="24" s="1"/>
  <c r="M612" i="24"/>
  <c r="N612" i="24" s="1"/>
  <c r="L612" i="24"/>
  <c r="L613" i="24" s="1"/>
  <c r="L631" i="24" s="1"/>
  <c r="K612" i="24"/>
  <c r="K613" i="24" s="1"/>
  <c r="G612" i="24"/>
  <c r="F612" i="24"/>
  <c r="F613" i="24" s="1"/>
  <c r="X611" i="24"/>
  <c r="Y611" i="24" s="1"/>
  <c r="S611" i="24"/>
  <c r="T611" i="24" s="1"/>
  <c r="M611" i="24"/>
  <c r="N611" i="24" s="1"/>
  <c r="H611" i="24"/>
  <c r="I611" i="24" s="1"/>
  <c r="X610" i="24"/>
  <c r="Y610" i="24" s="1"/>
  <c r="S610" i="24"/>
  <c r="T610" i="24" s="1"/>
  <c r="M610" i="24"/>
  <c r="N610" i="24" s="1"/>
  <c r="H610" i="24"/>
  <c r="I610" i="24" s="1"/>
  <c r="X609" i="24"/>
  <c r="Y609" i="24" s="1"/>
  <c r="S609" i="24"/>
  <c r="T609" i="24" s="1"/>
  <c r="M609" i="24"/>
  <c r="N609" i="24" s="1"/>
  <c r="H609" i="24"/>
  <c r="I609" i="24" s="1"/>
  <c r="X608" i="24"/>
  <c r="Y608" i="24" s="1"/>
  <c r="S608" i="24"/>
  <c r="T608" i="24" s="1"/>
  <c r="M608" i="24"/>
  <c r="N608" i="24" s="1"/>
  <c r="H608" i="24"/>
  <c r="I608" i="24" s="1"/>
  <c r="X607" i="24"/>
  <c r="Y607" i="24" s="1"/>
  <c r="S607" i="24"/>
  <c r="T607" i="24" s="1"/>
  <c r="M607" i="24"/>
  <c r="N607" i="24" s="1"/>
  <c r="H607" i="24"/>
  <c r="I607" i="24" s="1"/>
  <c r="X604" i="24"/>
  <c r="Y604" i="24" s="1"/>
  <c r="S604" i="24"/>
  <c r="T604" i="24" s="1"/>
  <c r="M604" i="24"/>
  <c r="N604" i="24" s="1"/>
  <c r="H604" i="24"/>
  <c r="I604" i="24" s="1"/>
  <c r="X603" i="24"/>
  <c r="Y603" i="24" s="1"/>
  <c r="T603" i="24"/>
  <c r="S603" i="24"/>
  <c r="M603" i="24"/>
  <c r="N603" i="24" s="1"/>
  <c r="H603" i="24"/>
  <c r="I603" i="24" s="1"/>
  <c r="X602" i="24"/>
  <c r="Y602" i="24" s="1"/>
  <c r="S602" i="24"/>
  <c r="T602" i="24" s="1"/>
  <c r="M602" i="24"/>
  <c r="N602" i="24" s="1"/>
  <c r="H602" i="24"/>
  <c r="I602" i="24" s="1"/>
  <c r="X601" i="24"/>
  <c r="Y601" i="24" s="1"/>
  <c r="T601" i="24"/>
  <c r="S601" i="24"/>
  <c r="M601" i="24"/>
  <c r="N601" i="24" s="1"/>
  <c r="I601" i="24"/>
  <c r="H601" i="24"/>
  <c r="X600" i="24"/>
  <c r="Y600" i="24" s="1"/>
  <c r="S600" i="24"/>
  <c r="T600" i="24" s="1"/>
  <c r="M600" i="24"/>
  <c r="N600" i="24" s="1"/>
  <c r="H600" i="24"/>
  <c r="I600" i="24" s="1"/>
  <c r="BA597" i="24"/>
  <c r="AZ597" i="24"/>
  <c r="AY597" i="24"/>
  <c r="AX597" i="24"/>
  <c r="AW597" i="24"/>
  <c r="AV597" i="24"/>
  <c r="AU597" i="24"/>
  <c r="AT597" i="24"/>
  <c r="AS597" i="24"/>
  <c r="AR597" i="24"/>
  <c r="AQ597" i="24"/>
  <c r="AP597" i="24"/>
  <c r="AN597" i="24"/>
  <c r="AM597" i="24"/>
  <c r="AL597" i="24"/>
  <c r="AK597" i="24"/>
  <c r="AJ597" i="24"/>
  <c r="AI597" i="24"/>
  <c r="AH597" i="24"/>
  <c r="AG597" i="24"/>
  <c r="AF597" i="24"/>
  <c r="AE597" i="24"/>
  <c r="AD597" i="24"/>
  <c r="AC597" i="24"/>
  <c r="AA597" i="24"/>
  <c r="X597" i="24"/>
  <c r="W597" i="24"/>
  <c r="V597" i="24"/>
  <c r="R597" i="24"/>
  <c r="Q597" i="24"/>
  <c r="S597" i="24" s="1"/>
  <c r="L597" i="24"/>
  <c r="K597" i="24"/>
  <c r="M597" i="24" s="1"/>
  <c r="G597" i="24"/>
  <c r="F597" i="24"/>
  <c r="H597" i="24" s="1"/>
  <c r="X595" i="24"/>
  <c r="Y595" i="24" s="1"/>
  <c r="S595" i="24"/>
  <c r="T595" i="24" s="1"/>
  <c r="M595" i="24"/>
  <c r="N595" i="24" s="1"/>
  <c r="H595" i="24"/>
  <c r="I595" i="24" s="1"/>
  <c r="X594" i="24"/>
  <c r="Y594" i="24" s="1"/>
  <c r="S594" i="24"/>
  <c r="T594" i="24" s="1"/>
  <c r="M594" i="24"/>
  <c r="N594" i="24" s="1"/>
  <c r="H594" i="24"/>
  <c r="I594" i="24" s="1"/>
  <c r="X593" i="24"/>
  <c r="Y593" i="24" s="1"/>
  <c r="S593" i="24"/>
  <c r="T593" i="24" s="1"/>
  <c r="M593" i="24"/>
  <c r="N593" i="24" s="1"/>
  <c r="H593" i="24"/>
  <c r="I593" i="24" s="1"/>
  <c r="X592" i="24"/>
  <c r="Y592" i="24" s="1"/>
  <c r="S592" i="24"/>
  <c r="T592" i="24" s="1"/>
  <c r="M592" i="24"/>
  <c r="N592" i="24" s="1"/>
  <c r="H592" i="24"/>
  <c r="I592" i="24" s="1"/>
  <c r="X591" i="24"/>
  <c r="Y591" i="24" s="1"/>
  <c r="S591" i="24"/>
  <c r="T591" i="24" s="1"/>
  <c r="M591" i="24"/>
  <c r="N591" i="24" s="1"/>
  <c r="H591" i="24"/>
  <c r="I591" i="24" s="1"/>
  <c r="X590" i="24"/>
  <c r="Y590" i="24" s="1"/>
  <c r="S590" i="24"/>
  <c r="T590" i="24" s="1"/>
  <c r="M590" i="24"/>
  <c r="N590" i="24" s="1"/>
  <c r="H590" i="24"/>
  <c r="I590" i="24" s="1"/>
  <c r="X589" i="24"/>
  <c r="Y589" i="24" s="1"/>
  <c r="S589" i="24"/>
  <c r="T589" i="24" s="1"/>
  <c r="M589" i="24"/>
  <c r="N589" i="24" s="1"/>
  <c r="H589" i="24"/>
  <c r="I589" i="24" s="1"/>
  <c r="X588" i="24"/>
  <c r="Y588" i="24" s="1"/>
  <c r="S588" i="24"/>
  <c r="T588" i="24" s="1"/>
  <c r="M588" i="24"/>
  <c r="N588" i="24" s="1"/>
  <c r="H588" i="24"/>
  <c r="I588" i="24" s="1"/>
  <c r="X586" i="24"/>
  <c r="Y586" i="24" s="1"/>
  <c r="S586" i="24"/>
  <c r="T586" i="24" s="1"/>
  <c r="M586" i="24"/>
  <c r="N586" i="24" s="1"/>
  <c r="H586" i="24"/>
  <c r="I586" i="24" s="1"/>
  <c r="X585" i="24"/>
  <c r="Y585" i="24" s="1"/>
  <c r="S585" i="24"/>
  <c r="T585" i="24" s="1"/>
  <c r="M585" i="24"/>
  <c r="N585" i="24" s="1"/>
  <c r="H585" i="24"/>
  <c r="I585" i="24" s="1"/>
  <c r="X583" i="24"/>
  <c r="Y583" i="24" s="1"/>
  <c r="S583" i="24"/>
  <c r="T583" i="24" s="1"/>
  <c r="M583" i="24"/>
  <c r="N583" i="24" s="1"/>
  <c r="H583" i="24"/>
  <c r="I583" i="24" s="1"/>
  <c r="X582" i="24"/>
  <c r="Y582" i="24" s="1"/>
  <c r="S582" i="24"/>
  <c r="T582" i="24" s="1"/>
  <c r="M582" i="24"/>
  <c r="N582" i="24" s="1"/>
  <c r="H582" i="24"/>
  <c r="I582" i="24" s="1"/>
  <c r="X581" i="24"/>
  <c r="Y581" i="24" s="1"/>
  <c r="S581" i="24"/>
  <c r="T581" i="24" s="1"/>
  <c r="M581" i="24"/>
  <c r="N581" i="24" s="1"/>
  <c r="H581" i="24"/>
  <c r="I581" i="24" s="1"/>
  <c r="X579" i="24"/>
  <c r="Y579" i="24" s="1"/>
  <c r="S579" i="24"/>
  <c r="T579" i="24" s="1"/>
  <c r="M579" i="24"/>
  <c r="N579" i="24" s="1"/>
  <c r="H579" i="24"/>
  <c r="I579" i="24" s="1"/>
  <c r="X577" i="24"/>
  <c r="Y577" i="24" s="1"/>
  <c r="S577" i="24"/>
  <c r="T577" i="24" s="1"/>
  <c r="M577" i="24"/>
  <c r="N577" i="24" s="1"/>
  <c r="H577" i="24"/>
  <c r="I577" i="24" s="1"/>
  <c r="X576" i="24"/>
  <c r="Y576" i="24" s="1"/>
  <c r="S576" i="24"/>
  <c r="T576" i="24" s="1"/>
  <c r="M576" i="24"/>
  <c r="N576" i="24" s="1"/>
  <c r="H576" i="24"/>
  <c r="I576" i="24" s="1"/>
  <c r="X574" i="24"/>
  <c r="Y574" i="24" s="1"/>
  <c r="S574" i="24"/>
  <c r="T574" i="24" s="1"/>
  <c r="M574" i="24"/>
  <c r="N574" i="24" s="1"/>
  <c r="H574" i="24"/>
  <c r="I574" i="24" s="1"/>
  <c r="X572" i="24"/>
  <c r="Y572" i="24" s="1"/>
  <c r="S572" i="24"/>
  <c r="T572" i="24" s="1"/>
  <c r="M572" i="24"/>
  <c r="N572" i="24" s="1"/>
  <c r="H572" i="24"/>
  <c r="I572" i="24" s="1"/>
  <c r="X571" i="24"/>
  <c r="Y571" i="24" s="1"/>
  <c r="S571" i="24"/>
  <c r="T571" i="24" s="1"/>
  <c r="M571" i="24"/>
  <c r="N571" i="24" s="1"/>
  <c r="H571" i="24"/>
  <c r="I571" i="24" s="1"/>
  <c r="BA568" i="24"/>
  <c r="AZ568" i="24"/>
  <c r="AY568" i="24"/>
  <c r="AX568" i="24"/>
  <c r="AX632" i="24" s="1"/>
  <c r="AW568" i="24"/>
  <c r="AV568" i="24"/>
  <c r="AU568" i="24"/>
  <c r="AT568" i="24"/>
  <c r="AT632" i="24" s="1"/>
  <c r="AS568" i="24"/>
  <c r="AR568" i="24"/>
  <c r="AQ568" i="24"/>
  <c r="AP568" i="24"/>
  <c r="AP632" i="24" s="1"/>
  <c r="AN568" i="24"/>
  <c r="AM568" i="24"/>
  <c r="AL568" i="24"/>
  <c r="AK568" i="24"/>
  <c r="AK632" i="24" s="1"/>
  <c r="AJ568" i="24"/>
  <c r="AI568" i="24"/>
  <c r="AH568" i="24"/>
  <c r="AG568" i="24"/>
  <c r="AG632" i="24" s="1"/>
  <c r="AF568" i="24"/>
  <c r="AE568" i="24"/>
  <c r="AD568" i="24"/>
  <c r="AC568" i="24"/>
  <c r="AC632" i="24" s="1"/>
  <c r="AA568" i="24"/>
  <c r="W568" i="24"/>
  <c r="V568" i="24"/>
  <c r="R568" i="24"/>
  <c r="Q568" i="24"/>
  <c r="L568" i="24"/>
  <c r="K568" i="24"/>
  <c r="G568" i="24"/>
  <c r="F568" i="24"/>
  <c r="Y566" i="24"/>
  <c r="X566" i="24"/>
  <c r="T566" i="24"/>
  <c r="S566" i="24"/>
  <c r="N566" i="24"/>
  <c r="M566" i="24"/>
  <c r="I566" i="24"/>
  <c r="H566" i="24"/>
  <c r="Y564" i="24"/>
  <c r="X564" i="24"/>
  <c r="T564" i="24"/>
  <c r="S564" i="24"/>
  <c r="N564" i="24"/>
  <c r="M564" i="24"/>
  <c r="I564" i="24"/>
  <c r="H564" i="24"/>
  <c r="Y563" i="24"/>
  <c r="X563" i="24"/>
  <c r="T563" i="24"/>
  <c r="S563" i="24"/>
  <c r="N563" i="24"/>
  <c r="M563" i="24"/>
  <c r="I563" i="24"/>
  <c r="H563" i="24"/>
  <c r="Y562" i="24"/>
  <c r="X562" i="24"/>
  <c r="T562" i="24"/>
  <c r="S562" i="24"/>
  <c r="N562" i="24"/>
  <c r="M562" i="24"/>
  <c r="I562" i="24"/>
  <c r="H562" i="24"/>
  <c r="Y561" i="24"/>
  <c r="X561" i="24"/>
  <c r="T561" i="24"/>
  <c r="S561" i="24"/>
  <c r="N561" i="24"/>
  <c r="M561" i="24"/>
  <c r="I561" i="24"/>
  <c r="H561" i="24"/>
  <c r="Y560" i="24"/>
  <c r="X560" i="24"/>
  <c r="T560" i="24"/>
  <c r="S560" i="24"/>
  <c r="N560" i="24"/>
  <c r="M560" i="24"/>
  <c r="I560" i="24"/>
  <c r="H560" i="24"/>
  <c r="Y559" i="24"/>
  <c r="X559" i="24"/>
  <c r="T559" i="24"/>
  <c r="S559" i="24"/>
  <c r="N559" i="24"/>
  <c r="M559" i="24"/>
  <c r="I559" i="24"/>
  <c r="H559" i="24"/>
  <c r="Y558" i="24"/>
  <c r="X558" i="24"/>
  <c r="T558" i="24"/>
  <c r="S558" i="24"/>
  <c r="N558" i="24"/>
  <c r="M558" i="24"/>
  <c r="I558" i="24"/>
  <c r="H558" i="24"/>
  <c r="Y556" i="24"/>
  <c r="X556" i="24"/>
  <c r="T556" i="24"/>
  <c r="S556" i="24"/>
  <c r="N556" i="24"/>
  <c r="M556" i="24"/>
  <c r="I556" i="24"/>
  <c r="H556" i="24"/>
  <c r="Y555" i="24"/>
  <c r="X555" i="24"/>
  <c r="T555" i="24"/>
  <c r="S555" i="24"/>
  <c r="N555" i="24"/>
  <c r="M555" i="24"/>
  <c r="I555" i="24"/>
  <c r="H555" i="24"/>
  <c r="Y553" i="24"/>
  <c r="X553" i="24"/>
  <c r="T553" i="24"/>
  <c r="S553" i="24"/>
  <c r="N553" i="24"/>
  <c r="M553" i="24"/>
  <c r="I553" i="24"/>
  <c r="H553" i="24"/>
  <c r="Y552" i="24"/>
  <c r="X552" i="24"/>
  <c r="T552" i="24"/>
  <c r="S552" i="24"/>
  <c r="N552" i="24"/>
  <c r="M552" i="24"/>
  <c r="I552" i="24"/>
  <c r="H552" i="24"/>
  <c r="Y551" i="24"/>
  <c r="X551" i="24"/>
  <c r="T551" i="24"/>
  <c r="S551" i="24"/>
  <c r="N551" i="24"/>
  <c r="M551" i="24"/>
  <c r="I551" i="24"/>
  <c r="H551" i="24"/>
  <c r="Y549" i="24"/>
  <c r="X549" i="24"/>
  <c r="T549" i="24"/>
  <c r="S549" i="24"/>
  <c r="N549" i="24"/>
  <c r="M549" i="24"/>
  <c r="I549" i="24"/>
  <c r="H549" i="24"/>
  <c r="Y547" i="24"/>
  <c r="X547" i="24"/>
  <c r="T547" i="24"/>
  <c r="S547" i="24"/>
  <c r="N547" i="24"/>
  <c r="M547" i="24"/>
  <c r="I547" i="24"/>
  <c r="H547" i="24"/>
  <c r="Y546" i="24"/>
  <c r="X546" i="24"/>
  <c r="T546" i="24"/>
  <c r="S546" i="24"/>
  <c r="N546" i="24"/>
  <c r="M546" i="24"/>
  <c r="I546" i="24"/>
  <c r="H546" i="24"/>
  <c r="Y545" i="24"/>
  <c r="X545" i="24"/>
  <c r="T545" i="24"/>
  <c r="S545" i="24"/>
  <c r="N545" i="24"/>
  <c r="M545" i="24"/>
  <c r="I545" i="24"/>
  <c r="H545" i="24"/>
  <c r="Y544" i="24"/>
  <c r="X544" i="24"/>
  <c r="T544" i="24"/>
  <c r="S544" i="24"/>
  <c r="N544" i="24"/>
  <c r="M544" i="24"/>
  <c r="I544" i="24"/>
  <c r="H544" i="24"/>
  <c r="Y542" i="24"/>
  <c r="X542" i="24"/>
  <c r="T542" i="24"/>
  <c r="S542" i="24"/>
  <c r="N542" i="24"/>
  <c r="M542" i="24"/>
  <c r="I542" i="24"/>
  <c r="H542" i="24"/>
  <c r="Y541" i="24"/>
  <c r="X541" i="24"/>
  <c r="T541" i="24"/>
  <c r="S541" i="24"/>
  <c r="N541" i="24"/>
  <c r="M541" i="24"/>
  <c r="I541" i="24"/>
  <c r="H541" i="24"/>
  <c r="Y539" i="24"/>
  <c r="X539" i="24"/>
  <c r="T539" i="24"/>
  <c r="S539" i="24"/>
  <c r="N539" i="24"/>
  <c r="M539" i="24"/>
  <c r="I539" i="24"/>
  <c r="H539" i="24"/>
  <c r="Y538" i="24"/>
  <c r="X538" i="24"/>
  <c r="T538" i="24"/>
  <c r="S538" i="24"/>
  <c r="N538" i="24"/>
  <c r="M538" i="24"/>
  <c r="I538" i="24"/>
  <c r="H538" i="24"/>
  <c r="Y536" i="24"/>
  <c r="X536" i="24"/>
  <c r="T536" i="24"/>
  <c r="S536" i="24"/>
  <c r="N536" i="24"/>
  <c r="M536" i="24"/>
  <c r="I536" i="24"/>
  <c r="H536" i="24"/>
  <c r="Y534" i="24"/>
  <c r="X534" i="24"/>
  <c r="T534" i="24"/>
  <c r="S534" i="24"/>
  <c r="N534" i="24"/>
  <c r="M534" i="24"/>
  <c r="I534" i="24"/>
  <c r="H534" i="24"/>
  <c r="X525" i="24"/>
  <c r="Y525" i="24" s="1"/>
  <c r="S525" i="24"/>
  <c r="T525" i="24" s="1"/>
  <c r="M525" i="24"/>
  <c r="N525" i="24" s="1"/>
  <c r="H525" i="24"/>
  <c r="I525" i="24" s="1"/>
  <c r="X524" i="24"/>
  <c r="Y524" i="24" s="1"/>
  <c r="S524" i="24"/>
  <c r="T524" i="24" s="1"/>
  <c r="M524" i="24"/>
  <c r="N524" i="24" s="1"/>
  <c r="H524" i="24"/>
  <c r="I524" i="24" s="1"/>
  <c r="X522" i="24"/>
  <c r="Y522" i="24" s="1"/>
  <c r="S522" i="24"/>
  <c r="T522" i="24" s="1"/>
  <c r="M522" i="24"/>
  <c r="N522" i="24" s="1"/>
  <c r="H522" i="24"/>
  <c r="I522" i="24" s="1"/>
  <c r="X520" i="24"/>
  <c r="Y520" i="24" s="1"/>
  <c r="S520" i="24"/>
  <c r="T520" i="24" s="1"/>
  <c r="M520" i="24"/>
  <c r="N520" i="24" s="1"/>
  <c r="H520" i="24"/>
  <c r="I520" i="24" s="1"/>
  <c r="X519" i="24"/>
  <c r="Y519" i="24" s="1"/>
  <c r="S519" i="24"/>
  <c r="T519" i="24" s="1"/>
  <c r="M519" i="24"/>
  <c r="N519" i="24" s="1"/>
  <c r="H519" i="24"/>
  <c r="I519" i="24" s="1"/>
  <c r="X518" i="24"/>
  <c r="Y518" i="24" s="1"/>
  <c r="S518" i="24"/>
  <c r="T518" i="24" s="1"/>
  <c r="M518" i="24"/>
  <c r="N518" i="24" s="1"/>
  <c r="H518" i="24"/>
  <c r="I518" i="24" s="1"/>
  <c r="X517" i="24"/>
  <c r="Y517" i="24" s="1"/>
  <c r="S517" i="24"/>
  <c r="T517" i="24" s="1"/>
  <c r="M517" i="24"/>
  <c r="N517" i="24" s="1"/>
  <c r="H517" i="24"/>
  <c r="I517" i="24" s="1"/>
  <c r="X516" i="24"/>
  <c r="Y516" i="24" s="1"/>
  <c r="S516" i="24"/>
  <c r="T516" i="24" s="1"/>
  <c r="M516" i="24"/>
  <c r="N516" i="24" s="1"/>
  <c r="H516" i="24"/>
  <c r="I516" i="24" s="1"/>
  <c r="X515" i="24"/>
  <c r="Y515" i="24" s="1"/>
  <c r="S515" i="24"/>
  <c r="T515" i="24" s="1"/>
  <c r="M515" i="24"/>
  <c r="N515" i="24" s="1"/>
  <c r="H515" i="24"/>
  <c r="I515" i="24" s="1"/>
  <c r="X513" i="24"/>
  <c r="Y513" i="24" s="1"/>
  <c r="S513" i="24"/>
  <c r="T513" i="24" s="1"/>
  <c r="M513" i="24"/>
  <c r="N513" i="24" s="1"/>
  <c r="H513" i="24"/>
  <c r="I513" i="24" s="1"/>
  <c r="X511" i="24"/>
  <c r="Y511" i="24" s="1"/>
  <c r="S511" i="24"/>
  <c r="T511" i="24" s="1"/>
  <c r="M511" i="24"/>
  <c r="N511" i="24" s="1"/>
  <c r="H511" i="24"/>
  <c r="I511" i="24" s="1"/>
  <c r="X510" i="24"/>
  <c r="Y510" i="24" s="1"/>
  <c r="S510" i="24"/>
  <c r="T510" i="24" s="1"/>
  <c r="M510" i="24"/>
  <c r="N510" i="24" s="1"/>
  <c r="H510" i="24"/>
  <c r="I510" i="24" s="1"/>
  <c r="X508" i="24"/>
  <c r="Y508" i="24" s="1"/>
  <c r="S508" i="24"/>
  <c r="T508" i="24" s="1"/>
  <c r="M508" i="24"/>
  <c r="N508" i="24" s="1"/>
  <c r="H508" i="24"/>
  <c r="I508" i="24" s="1"/>
  <c r="X507" i="24"/>
  <c r="Y507" i="24" s="1"/>
  <c r="S507" i="24"/>
  <c r="T507" i="24" s="1"/>
  <c r="M507" i="24"/>
  <c r="N507" i="24" s="1"/>
  <c r="H507" i="24"/>
  <c r="I507" i="24" s="1"/>
  <c r="X505" i="24"/>
  <c r="Y505" i="24" s="1"/>
  <c r="S505" i="24"/>
  <c r="T505" i="24" s="1"/>
  <c r="M505" i="24"/>
  <c r="N505" i="24" s="1"/>
  <c r="H505" i="24"/>
  <c r="I505" i="24" s="1"/>
  <c r="X504" i="24"/>
  <c r="Y504" i="24" s="1"/>
  <c r="S504" i="24"/>
  <c r="T504" i="24" s="1"/>
  <c r="M504" i="24"/>
  <c r="N504" i="24" s="1"/>
  <c r="H504" i="24"/>
  <c r="I504" i="24" s="1"/>
  <c r="X503" i="24"/>
  <c r="Y503" i="24" s="1"/>
  <c r="S503" i="24"/>
  <c r="T503" i="24" s="1"/>
  <c r="M503" i="24"/>
  <c r="N503" i="24" s="1"/>
  <c r="H503" i="24"/>
  <c r="I503" i="24" s="1"/>
  <c r="X501" i="24"/>
  <c r="Y501" i="24" s="1"/>
  <c r="S501" i="24"/>
  <c r="T501" i="24" s="1"/>
  <c r="M501" i="24"/>
  <c r="N501" i="24" s="1"/>
  <c r="H501" i="24"/>
  <c r="I501" i="24" s="1"/>
  <c r="X500" i="24"/>
  <c r="Y500" i="24" s="1"/>
  <c r="S500" i="24"/>
  <c r="T500" i="24" s="1"/>
  <c r="M500" i="24"/>
  <c r="N500" i="24" s="1"/>
  <c r="H500" i="24"/>
  <c r="I500" i="24" s="1"/>
  <c r="X499" i="24"/>
  <c r="Y499" i="24" s="1"/>
  <c r="S499" i="24"/>
  <c r="T499" i="24" s="1"/>
  <c r="M499" i="24"/>
  <c r="N499" i="24" s="1"/>
  <c r="H499" i="24"/>
  <c r="I499" i="24" s="1"/>
  <c r="X497" i="24"/>
  <c r="Y497" i="24" s="1"/>
  <c r="S497" i="24"/>
  <c r="T497" i="24" s="1"/>
  <c r="M497" i="24"/>
  <c r="N497" i="24" s="1"/>
  <c r="H497" i="24"/>
  <c r="I497" i="24" s="1"/>
  <c r="X496" i="24"/>
  <c r="Y496" i="24" s="1"/>
  <c r="S496" i="24"/>
  <c r="T496" i="24" s="1"/>
  <c r="M496" i="24"/>
  <c r="N496" i="24" s="1"/>
  <c r="H496" i="24"/>
  <c r="I496" i="24" s="1"/>
  <c r="X495" i="24"/>
  <c r="Y495" i="24" s="1"/>
  <c r="S495" i="24"/>
  <c r="T495" i="24" s="1"/>
  <c r="M495" i="24"/>
  <c r="N495" i="24" s="1"/>
  <c r="H495" i="24"/>
  <c r="I495" i="24" s="1"/>
  <c r="X494" i="24"/>
  <c r="Y494" i="24" s="1"/>
  <c r="S494" i="24"/>
  <c r="T494" i="24" s="1"/>
  <c r="M494" i="24"/>
  <c r="N494" i="24" s="1"/>
  <c r="H494" i="24"/>
  <c r="I494" i="24" s="1"/>
  <c r="X493" i="24"/>
  <c r="Y493" i="24" s="1"/>
  <c r="S493" i="24"/>
  <c r="T493" i="24" s="1"/>
  <c r="M493" i="24"/>
  <c r="N493" i="24" s="1"/>
  <c r="H493" i="24"/>
  <c r="I493" i="24" s="1"/>
  <c r="X492" i="24"/>
  <c r="Y492" i="24" s="1"/>
  <c r="S492" i="24"/>
  <c r="T492" i="24" s="1"/>
  <c r="M492" i="24"/>
  <c r="N492" i="24" s="1"/>
  <c r="H492" i="24"/>
  <c r="I492" i="24" s="1"/>
  <c r="X491" i="24"/>
  <c r="Y491" i="24" s="1"/>
  <c r="S491" i="24"/>
  <c r="T491" i="24" s="1"/>
  <c r="M491" i="24"/>
  <c r="N491" i="24" s="1"/>
  <c r="H491" i="24"/>
  <c r="I491" i="24" s="1"/>
  <c r="Q489" i="24"/>
  <c r="K489" i="24"/>
  <c r="BA488" i="24"/>
  <c r="BA489" i="24" s="1"/>
  <c r="AZ488" i="24"/>
  <c r="AZ489" i="24" s="1"/>
  <c r="AY488" i="24"/>
  <c r="AY489" i="24" s="1"/>
  <c r="AX488" i="24"/>
  <c r="AX489" i="24" s="1"/>
  <c r="AW488" i="24"/>
  <c r="AW489" i="24" s="1"/>
  <c r="AV488" i="24"/>
  <c r="AV489" i="24" s="1"/>
  <c r="AU488" i="24"/>
  <c r="AU489" i="24" s="1"/>
  <c r="AT488" i="24"/>
  <c r="AT489" i="24" s="1"/>
  <c r="AS488" i="24"/>
  <c r="AS489" i="24" s="1"/>
  <c r="AR488" i="24"/>
  <c r="AR489" i="24" s="1"/>
  <c r="AQ488" i="24"/>
  <c r="AQ489" i="24" s="1"/>
  <c r="AP488" i="24"/>
  <c r="AP489" i="24" s="1"/>
  <c r="AN488" i="24"/>
  <c r="AN489" i="24" s="1"/>
  <c r="AM488" i="24"/>
  <c r="AM489" i="24" s="1"/>
  <c r="AL488" i="24"/>
  <c r="AL489" i="24" s="1"/>
  <c r="AK488" i="24"/>
  <c r="AK489" i="24" s="1"/>
  <c r="AJ488" i="24"/>
  <c r="AJ489" i="24" s="1"/>
  <c r="AI488" i="24"/>
  <c r="AI489" i="24" s="1"/>
  <c r="AH488" i="24"/>
  <c r="AH489" i="24" s="1"/>
  <c r="AG488" i="24"/>
  <c r="AG489" i="24" s="1"/>
  <c r="AF488" i="24"/>
  <c r="AF489" i="24" s="1"/>
  <c r="AE488" i="24"/>
  <c r="AE489" i="24" s="1"/>
  <c r="AD488" i="24"/>
  <c r="AD489" i="24" s="1"/>
  <c r="AC488" i="24"/>
  <c r="AC489" i="24" s="1"/>
  <c r="AA488" i="24"/>
  <c r="AA489" i="24" s="1"/>
  <c r="W488" i="24"/>
  <c r="W489" i="24" s="1"/>
  <c r="V488" i="24"/>
  <c r="V489" i="24" s="1"/>
  <c r="R488" i="24"/>
  <c r="Q488" i="24"/>
  <c r="L488" i="24"/>
  <c r="L489" i="24" s="1"/>
  <c r="K488" i="24"/>
  <c r="G488" i="24"/>
  <c r="F488" i="24"/>
  <c r="F489" i="24" s="1"/>
  <c r="Y487" i="24"/>
  <c r="X487" i="24"/>
  <c r="S487" i="24"/>
  <c r="T487" i="24" s="1"/>
  <c r="N487" i="24"/>
  <c r="M487" i="24"/>
  <c r="H487" i="24"/>
  <c r="I487" i="24" s="1"/>
  <c r="X486" i="24"/>
  <c r="Y486" i="24" s="1"/>
  <c r="S486" i="24"/>
  <c r="T486" i="24" s="1"/>
  <c r="M486" i="24"/>
  <c r="N486" i="24" s="1"/>
  <c r="H486" i="24"/>
  <c r="I486" i="24" s="1"/>
  <c r="Y485" i="24"/>
  <c r="X485" i="24"/>
  <c r="S485" i="24"/>
  <c r="T485" i="24" s="1"/>
  <c r="M485" i="24"/>
  <c r="N485" i="24" s="1"/>
  <c r="H485" i="24"/>
  <c r="I485" i="24" s="1"/>
  <c r="X484" i="24"/>
  <c r="Y484" i="24" s="1"/>
  <c r="S484" i="24"/>
  <c r="T484" i="24" s="1"/>
  <c r="M484" i="24"/>
  <c r="N484" i="24" s="1"/>
  <c r="H484" i="24"/>
  <c r="I484" i="24" s="1"/>
  <c r="Y483" i="24"/>
  <c r="X483" i="24"/>
  <c r="S483" i="24"/>
  <c r="T483" i="24" s="1"/>
  <c r="N483" i="24"/>
  <c r="M483" i="24"/>
  <c r="H483" i="24"/>
  <c r="I483" i="24" s="1"/>
  <c r="X481" i="24"/>
  <c r="Y481" i="24" s="1"/>
  <c r="S481" i="24"/>
  <c r="T481" i="24" s="1"/>
  <c r="M481" i="24"/>
  <c r="N481" i="24" s="1"/>
  <c r="H481" i="24"/>
  <c r="I481" i="24" s="1"/>
  <c r="Y480" i="24"/>
  <c r="X480" i="24"/>
  <c r="S480" i="24"/>
  <c r="T480" i="24" s="1"/>
  <c r="M480" i="24"/>
  <c r="N480" i="24" s="1"/>
  <c r="H480" i="24"/>
  <c r="I480" i="24" s="1"/>
  <c r="X479" i="24"/>
  <c r="Y479" i="24" s="1"/>
  <c r="S479" i="24"/>
  <c r="T479" i="24" s="1"/>
  <c r="M479" i="24"/>
  <c r="N479" i="24" s="1"/>
  <c r="H479" i="24"/>
  <c r="I479" i="24" s="1"/>
  <c r="Y478" i="24"/>
  <c r="X478" i="24"/>
  <c r="S478" i="24"/>
  <c r="T478" i="24" s="1"/>
  <c r="N478" i="24"/>
  <c r="M478" i="24"/>
  <c r="H478" i="24"/>
  <c r="I478" i="24" s="1"/>
  <c r="X477" i="24"/>
  <c r="Y477" i="24" s="1"/>
  <c r="S477" i="24"/>
  <c r="T477" i="24" s="1"/>
  <c r="M477" i="24"/>
  <c r="N477" i="24" s="1"/>
  <c r="H477" i="24"/>
  <c r="I477" i="24" s="1"/>
  <c r="Y476" i="24"/>
  <c r="X476" i="24"/>
  <c r="S476" i="24"/>
  <c r="T476" i="24" s="1"/>
  <c r="M476" i="24"/>
  <c r="N476" i="24" s="1"/>
  <c r="H476" i="24"/>
  <c r="I476" i="24" s="1"/>
  <c r="X475" i="24"/>
  <c r="Y475" i="24" s="1"/>
  <c r="S475" i="24"/>
  <c r="T475" i="24" s="1"/>
  <c r="M475" i="24"/>
  <c r="N475" i="24" s="1"/>
  <c r="H475" i="24"/>
  <c r="I475" i="24" s="1"/>
  <c r="Y474" i="24"/>
  <c r="X474" i="24"/>
  <c r="S474" i="24"/>
  <c r="T474" i="24" s="1"/>
  <c r="N474" i="24"/>
  <c r="M474" i="24"/>
  <c r="H474" i="24"/>
  <c r="I474" i="24" s="1"/>
  <c r="X473" i="24"/>
  <c r="Y473" i="24" s="1"/>
  <c r="S473" i="24"/>
  <c r="T473" i="24" s="1"/>
  <c r="M473" i="24"/>
  <c r="N473" i="24" s="1"/>
  <c r="H473" i="24"/>
  <c r="I473" i="24" s="1"/>
  <c r="Y472" i="24"/>
  <c r="X472" i="24"/>
  <c r="S472" i="24"/>
  <c r="T472" i="24" s="1"/>
  <c r="M472" i="24"/>
  <c r="N472" i="24" s="1"/>
  <c r="H472" i="24"/>
  <c r="I472" i="24" s="1"/>
  <c r="X471" i="24"/>
  <c r="Y471" i="24" s="1"/>
  <c r="S471" i="24"/>
  <c r="T471" i="24" s="1"/>
  <c r="M471" i="24"/>
  <c r="N471" i="24" s="1"/>
  <c r="H471" i="24"/>
  <c r="I471" i="24" s="1"/>
  <c r="Y470" i="24"/>
  <c r="X470" i="24"/>
  <c r="S470" i="24"/>
  <c r="T470" i="24" s="1"/>
  <c r="N470" i="24"/>
  <c r="M470" i="24"/>
  <c r="H470" i="24"/>
  <c r="I470" i="24" s="1"/>
  <c r="X469" i="24"/>
  <c r="Y469" i="24" s="1"/>
  <c r="S469" i="24"/>
  <c r="T469" i="24" s="1"/>
  <c r="M469" i="24"/>
  <c r="N469" i="24" s="1"/>
  <c r="H469" i="24"/>
  <c r="I469" i="24" s="1"/>
  <c r="Y468" i="24"/>
  <c r="X468" i="24"/>
  <c r="S468" i="24"/>
  <c r="T468" i="24" s="1"/>
  <c r="M468" i="24"/>
  <c r="N468" i="24" s="1"/>
  <c r="H468" i="24"/>
  <c r="I468" i="24" s="1"/>
  <c r="X467" i="24"/>
  <c r="Y467" i="24" s="1"/>
  <c r="S467" i="24"/>
  <c r="T467" i="24" s="1"/>
  <c r="M467" i="24"/>
  <c r="N467" i="24" s="1"/>
  <c r="H467" i="24"/>
  <c r="I467" i="24" s="1"/>
  <c r="Y466" i="24"/>
  <c r="X466" i="24"/>
  <c r="S466" i="24"/>
  <c r="T466" i="24" s="1"/>
  <c r="N466" i="24"/>
  <c r="M466" i="24"/>
  <c r="H466" i="24"/>
  <c r="I466" i="24" s="1"/>
  <c r="X465" i="24"/>
  <c r="Y465" i="24" s="1"/>
  <c r="S465" i="24"/>
  <c r="T465" i="24" s="1"/>
  <c r="M465" i="24"/>
  <c r="N465" i="24" s="1"/>
  <c r="H465" i="24"/>
  <c r="I465" i="24" s="1"/>
  <c r="Y464" i="24"/>
  <c r="X464" i="24"/>
  <c r="S464" i="24"/>
  <c r="T464" i="24" s="1"/>
  <c r="M464" i="24"/>
  <c r="N464" i="24" s="1"/>
  <c r="H464" i="24"/>
  <c r="I464" i="24" s="1"/>
  <c r="X463" i="24"/>
  <c r="Y463" i="24" s="1"/>
  <c r="S463" i="24"/>
  <c r="T463" i="24" s="1"/>
  <c r="M463" i="24"/>
  <c r="N463" i="24" s="1"/>
  <c r="H463" i="24"/>
  <c r="I463" i="24" s="1"/>
  <c r="Y462" i="24"/>
  <c r="X462" i="24"/>
  <c r="S462" i="24"/>
  <c r="T462" i="24" s="1"/>
  <c r="N462" i="24"/>
  <c r="M462" i="24"/>
  <c r="H462" i="24"/>
  <c r="I462" i="24" s="1"/>
  <c r="X461" i="24"/>
  <c r="Y461" i="24" s="1"/>
  <c r="S461" i="24"/>
  <c r="T461" i="24" s="1"/>
  <c r="M461" i="24"/>
  <c r="N461" i="24" s="1"/>
  <c r="H461" i="24"/>
  <c r="I461" i="24" s="1"/>
  <c r="Y460" i="24"/>
  <c r="X460" i="24"/>
  <c r="S460" i="24"/>
  <c r="T460" i="24" s="1"/>
  <c r="M460" i="24"/>
  <c r="N460" i="24" s="1"/>
  <c r="H460" i="24"/>
  <c r="I460" i="24" s="1"/>
  <c r="X459" i="24"/>
  <c r="Y459" i="24" s="1"/>
  <c r="S459" i="24"/>
  <c r="T459" i="24" s="1"/>
  <c r="M459" i="24"/>
  <c r="N459" i="24" s="1"/>
  <c r="H459" i="24"/>
  <c r="I459" i="24" s="1"/>
  <c r="Y458" i="24"/>
  <c r="X458" i="24"/>
  <c r="S458" i="24"/>
  <c r="T458" i="24" s="1"/>
  <c r="N458" i="24"/>
  <c r="M458" i="24"/>
  <c r="H458" i="24"/>
  <c r="I458" i="24" s="1"/>
  <c r="X457" i="24"/>
  <c r="Y457" i="24" s="1"/>
  <c r="T457" i="24"/>
  <c r="S457" i="24"/>
  <c r="M457" i="24"/>
  <c r="N457" i="24" s="1"/>
  <c r="I457" i="24"/>
  <c r="H457" i="24"/>
  <c r="X456" i="24"/>
  <c r="Y456" i="24" s="1"/>
  <c r="T456" i="24"/>
  <c r="S456" i="24"/>
  <c r="M456" i="24"/>
  <c r="N456" i="24" s="1"/>
  <c r="I456" i="24"/>
  <c r="H456" i="24"/>
  <c r="X455" i="24"/>
  <c r="Y455" i="24" s="1"/>
  <c r="T455" i="24"/>
  <c r="S455" i="24"/>
  <c r="M455" i="24"/>
  <c r="N455" i="24" s="1"/>
  <c r="I455" i="24"/>
  <c r="H455" i="24"/>
  <c r="X454" i="24"/>
  <c r="Y454" i="24" s="1"/>
  <c r="T454" i="24"/>
  <c r="S454" i="24"/>
  <c r="M454" i="24"/>
  <c r="N454" i="24" s="1"/>
  <c r="I454" i="24"/>
  <c r="H454" i="24"/>
  <c r="X453" i="24"/>
  <c r="Y453" i="24" s="1"/>
  <c r="T453" i="24"/>
  <c r="S453" i="24"/>
  <c r="M453" i="24"/>
  <c r="N453" i="24" s="1"/>
  <c r="I453" i="24"/>
  <c r="H453" i="24"/>
  <c r="X452" i="24"/>
  <c r="Y452" i="24" s="1"/>
  <c r="T452" i="24"/>
  <c r="S452" i="24"/>
  <c r="M452" i="24"/>
  <c r="N452" i="24" s="1"/>
  <c r="I452" i="24"/>
  <c r="H452" i="24"/>
  <c r="X451" i="24"/>
  <c r="Y451" i="24" s="1"/>
  <c r="T451" i="24"/>
  <c r="S451" i="24"/>
  <c r="M451" i="24"/>
  <c r="N451" i="24" s="1"/>
  <c r="I451" i="24"/>
  <c r="H451" i="24"/>
  <c r="X450" i="24"/>
  <c r="Y450" i="24" s="1"/>
  <c r="T450" i="24"/>
  <c r="S450" i="24"/>
  <c r="M450" i="24"/>
  <c r="N450" i="24" s="1"/>
  <c r="I450" i="24"/>
  <c r="H450" i="24"/>
  <c r="X449" i="24"/>
  <c r="Y449" i="24" s="1"/>
  <c r="T449" i="24"/>
  <c r="S449" i="24"/>
  <c r="M449" i="24"/>
  <c r="N449" i="24" s="1"/>
  <c r="I449" i="24"/>
  <c r="H449" i="24"/>
  <c r="X448" i="24"/>
  <c r="Y448" i="24" s="1"/>
  <c r="T448" i="24"/>
  <c r="S448" i="24"/>
  <c r="M448" i="24"/>
  <c r="N448" i="24" s="1"/>
  <c r="I448" i="24"/>
  <c r="H448" i="24"/>
  <c r="X447" i="24"/>
  <c r="Y447" i="24" s="1"/>
  <c r="T447" i="24"/>
  <c r="S447" i="24"/>
  <c r="M447" i="24"/>
  <c r="N447" i="24" s="1"/>
  <c r="I447" i="24"/>
  <c r="H447" i="24"/>
  <c r="X446" i="24"/>
  <c r="Y446" i="24" s="1"/>
  <c r="T446" i="24"/>
  <c r="S446" i="24"/>
  <c r="M446" i="24"/>
  <c r="N446" i="24" s="1"/>
  <c r="I446" i="24"/>
  <c r="H446" i="24"/>
  <c r="X445" i="24"/>
  <c r="Y445" i="24" s="1"/>
  <c r="T445" i="24"/>
  <c r="S445" i="24"/>
  <c r="M445" i="24"/>
  <c r="N445" i="24" s="1"/>
  <c r="I445" i="24"/>
  <c r="H445" i="24"/>
  <c r="X444" i="24"/>
  <c r="Y444" i="24" s="1"/>
  <c r="T444" i="24"/>
  <c r="S444" i="24"/>
  <c r="M444" i="24"/>
  <c r="N444" i="24" s="1"/>
  <c r="I444" i="24"/>
  <c r="H444" i="24"/>
  <c r="X443" i="24"/>
  <c r="Y443" i="24" s="1"/>
  <c r="T443" i="24"/>
  <c r="S443" i="24"/>
  <c r="M443" i="24"/>
  <c r="N443" i="24" s="1"/>
  <c r="I443" i="24"/>
  <c r="H443" i="24"/>
  <c r="X442" i="24"/>
  <c r="Y442" i="24" s="1"/>
  <c r="T442" i="24"/>
  <c r="S442" i="24"/>
  <c r="M442" i="24"/>
  <c r="N442" i="24" s="1"/>
  <c r="I442" i="24"/>
  <c r="H442" i="24"/>
  <c r="X441" i="24"/>
  <c r="Y441" i="24" s="1"/>
  <c r="T441" i="24"/>
  <c r="S441" i="24"/>
  <c r="M441" i="24"/>
  <c r="N441" i="24" s="1"/>
  <c r="I441" i="24"/>
  <c r="H441" i="24"/>
  <c r="X440" i="24"/>
  <c r="Y440" i="24" s="1"/>
  <c r="T440" i="24"/>
  <c r="S440" i="24"/>
  <c r="M440" i="24"/>
  <c r="N440" i="24" s="1"/>
  <c r="I440" i="24"/>
  <c r="H440" i="24"/>
  <c r="X439" i="24"/>
  <c r="Y439" i="24" s="1"/>
  <c r="T439" i="24"/>
  <c r="S439" i="24"/>
  <c r="M439" i="24"/>
  <c r="N439" i="24" s="1"/>
  <c r="I439" i="24"/>
  <c r="H439" i="24"/>
  <c r="X438" i="24"/>
  <c r="Y438" i="24" s="1"/>
  <c r="T438" i="24"/>
  <c r="S438" i="24"/>
  <c r="M438" i="24"/>
  <c r="N438" i="24" s="1"/>
  <c r="I438" i="24"/>
  <c r="H438" i="24"/>
  <c r="X437" i="24"/>
  <c r="Y437" i="24" s="1"/>
  <c r="T437" i="24"/>
  <c r="S437" i="24"/>
  <c r="M437" i="24"/>
  <c r="N437" i="24" s="1"/>
  <c r="I437" i="24"/>
  <c r="H437" i="24"/>
  <c r="X436" i="24"/>
  <c r="Y436" i="24" s="1"/>
  <c r="T436" i="24"/>
  <c r="S436" i="24"/>
  <c r="M436" i="24"/>
  <c r="N436" i="24" s="1"/>
  <c r="I436" i="24"/>
  <c r="H436" i="24"/>
  <c r="X434" i="24"/>
  <c r="Y434" i="24" s="1"/>
  <c r="T434" i="24"/>
  <c r="S434" i="24"/>
  <c r="M434" i="24"/>
  <c r="N434" i="24" s="1"/>
  <c r="I434" i="24"/>
  <c r="H434" i="24"/>
  <c r="X432" i="24"/>
  <c r="Y432" i="24" s="1"/>
  <c r="T432" i="24"/>
  <c r="S432" i="24"/>
  <c r="M432" i="24"/>
  <c r="N432" i="24" s="1"/>
  <c r="I432" i="24"/>
  <c r="H432" i="24"/>
  <c r="X431" i="24"/>
  <c r="Y431" i="24" s="1"/>
  <c r="T431" i="24"/>
  <c r="S431" i="24"/>
  <c r="M431" i="24"/>
  <c r="N431" i="24" s="1"/>
  <c r="I431" i="24"/>
  <c r="H431" i="24"/>
  <c r="X430" i="24"/>
  <c r="Y430" i="24" s="1"/>
  <c r="T430" i="24"/>
  <c r="S430" i="24"/>
  <c r="M430" i="24"/>
  <c r="N430" i="24" s="1"/>
  <c r="I430" i="24"/>
  <c r="H430" i="24"/>
  <c r="Y428" i="24"/>
  <c r="X428" i="24"/>
  <c r="T428" i="24"/>
  <c r="S428" i="24"/>
  <c r="N428" i="24"/>
  <c r="M428" i="24"/>
  <c r="I428" i="24"/>
  <c r="H428" i="24"/>
  <c r="Y426" i="24"/>
  <c r="X426" i="24"/>
  <c r="T426" i="24"/>
  <c r="S426" i="24"/>
  <c r="N426" i="24"/>
  <c r="M426" i="24"/>
  <c r="I426" i="24"/>
  <c r="H426" i="24"/>
  <c r="Y424" i="24"/>
  <c r="X424" i="24"/>
  <c r="T424" i="24"/>
  <c r="S424" i="24"/>
  <c r="N424" i="24"/>
  <c r="M424" i="24"/>
  <c r="I424" i="24"/>
  <c r="H424" i="24"/>
  <c r="Y423" i="24"/>
  <c r="X423" i="24"/>
  <c r="T423" i="24"/>
  <c r="S423" i="24"/>
  <c r="N423" i="24"/>
  <c r="M423" i="24"/>
  <c r="I423" i="24"/>
  <c r="H423" i="24"/>
  <c r="Y421" i="24"/>
  <c r="X421" i="24"/>
  <c r="T421" i="24"/>
  <c r="S421" i="24"/>
  <c r="N421" i="24"/>
  <c r="M421" i="24"/>
  <c r="I421" i="24"/>
  <c r="H421" i="24"/>
  <c r="Y420" i="24"/>
  <c r="X420" i="24"/>
  <c r="T420" i="24"/>
  <c r="S420" i="24"/>
  <c r="N420" i="24"/>
  <c r="M420" i="24"/>
  <c r="I420" i="24"/>
  <c r="H420" i="24"/>
  <c r="Y418" i="24"/>
  <c r="X418" i="24"/>
  <c r="T418" i="24"/>
  <c r="S418" i="24"/>
  <c r="N418" i="24"/>
  <c r="M418" i="24"/>
  <c r="I418" i="24"/>
  <c r="H418" i="24"/>
  <c r="Y417" i="24"/>
  <c r="X417" i="24"/>
  <c r="T417" i="24"/>
  <c r="S417" i="24"/>
  <c r="N417" i="24"/>
  <c r="M417" i="24"/>
  <c r="I417" i="24"/>
  <c r="H417" i="24"/>
  <c r="Y415" i="24"/>
  <c r="X415" i="24"/>
  <c r="T415" i="24"/>
  <c r="S415" i="24"/>
  <c r="N415" i="24"/>
  <c r="M415" i="24"/>
  <c r="I415" i="24"/>
  <c r="H415" i="24"/>
  <c r="Y414" i="24"/>
  <c r="X414" i="24"/>
  <c r="T414" i="24"/>
  <c r="S414" i="24"/>
  <c r="N414" i="24"/>
  <c r="M414" i="24"/>
  <c r="I414" i="24"/>
  <c r="H414" i="24"/>
  <c r="BA412" i="24"/>
  <c r="AZ412" i="24"/>
  <c r="AY412" i="24"/>
  <c r="AX412" i="24"/>
  <c r="AW412" i="24"/>
  <c r="AV412" i="24"/>
  <c r="AU412" i="24"/>
  <c r="AT412" i="24"/>
  <c r="AS412" i="24"/>
  <c r="AR412" i="24"/>
  <c r="AQ412" i="24"/>
  <c r="AP412" i="24"/>
  <c r="AN412" i="24"/>
  <c r="AM412" i="24"/>
  <c r="AL412" i="24"/>
  <c r="AK412" i="24"/>
  <c r="AJ412" i="24"/>
  <c r="AI412" i="24"/>
  <c r="AH412" i="24"/>
  <c r="AG412" i="24"/>
  <c r="AF412" i="24"/>
  <c r="AE412" i="24"/>
  <c r="AD412" i="24"/>
  <c r="AC412" i="24"/>
  <c r="AA412" i="24"/>
  <c r="W412" i="24"/>
  <c r="V412" i="24"/>
  <c r="R412" i="24"/>
  <c r="Q412" i="24"/>
  <c r="S412" i="24" s="1"/>
  <c r="L412" i="24"/>
  <c r="K412" i="24"/>
  <c r="G412" i="24"/>
  <c r="F412" i="24"/>
  <c r="H412" i="24" s="1"/>
  <c r="X411" i="24"/>
  <c r="Y411" i="24" s="1"/>
  <c r="S411" i="24"/>
  <c r="T411" i="24" s="1"/>
  <c r="M411" i="24"/>
  <c r="N411" i="24" s="1"/>
  <c r="H411" i="24"/>
  <c r="I411" i="24" s="1"/>
  <c r="X410" i="24"/>
  <c r="Y410" i="24" s="1"/>
  <c r="S410" i="24"/>
  <c r="T410" i="24" s="1"/>
  <c r="M410" i="24"/>
  <c r="N410" i="24" s="1"/>
  <c r="H410" i="24"/>
  <c r="I410" i="24" s="1"/>
  <c r="X409" i="24"/>
  <c r="Y409" i="24" s="1"/>
  <c r="S409" i="24"/>
  <c r="T409" i="24" s="1"/>
  <c r="M409" i="24"/>
  <c r="N409" i="24" s="1"/>
  <c r="H409" i="24"/>
  <c r="I409" i="24" s="1"/>
  <c r="X408" i="24"/>
  <c r="Y408" i="24" s="1"/>
  <c r="S408" i="24"/>
  <c r="T408" i="24" s="1"/>
  <c r="M408" i="24"/>
  <c r="N408" i="24" s="1"/>
  <c r="H408" i="24"/>
  <c r="I408" i="24" s="1"/>
  <c r="X407" i="24"/>
  <c r="Y407" i="24" s="1"/>
  <c r="S407" i="24"/>
  <c r="T407" i="24" s="1"/>
  <c r="M407" i="24"/>
  <c r="N407" i="24" s="1"/>
  <c r="H407" i="24"/>
  <c r="I407" i="24" s="1"/>
  <c r="X406" i="24"/>
  <c r="Y406" i="24" s="1"/>
  <c r="S406" i="24"/>
  <c r="T406" i="24" s="1"/>
  <c r="M406" i="24"/>
  <c r="N406" i="24" s="1"/>
  <c r="H406" i="24"/>
  <c r="I406" i="24" s="1"/>
  <c r="X405" i="24"/>
  <c r="Y405" i="24" s="1"/>
  <c r="S405" i="24"/>
  <c r="T405" i="24" s="1"/>
  <c r="M405" i="24"/>
  <c r="N405" i="24" s="1"/>
  <c r="H405" i="24"/>
  <c r="I405" i="24" s="1"/>
  <c r="X404" i="24"/>
  <c r="Y404" i="24" s="1"/>
  <c r="S404" i="24"/>
  <c r="T404" i="24" s="1"/>
  <c r="M404" i="24"/>
  <c r="N404" i="24" s="1"/>
  <c r="H404" i="24"/>
  <c r="I404" i="24" s="1"/>
  <c r="X403" i="24"/>
  <c r="Y403" i="24" s="1"/>
  <c r="S403" i="24"/>
  <c r="T403" i="24" s="1"/>
  <c r="M403" i="24"/>
  <c r="N403" i="24" s="1"/>
  <c r="H403" i="24"/>
  <c r="I403" i="24" s="1"/>
  <c r="X402" i="24"/>
  <c r="Y402" i="24" s="1"/>
  <c r="S402" i="24"/>
  <c r="T402" i="24" s="1"/>
  <c r="M402" i="24"/>
  <c r="N402" i="24" s="1"/>
  <c r="H402" i="24"/>
  <c r="I402" i="24" s="1"/>
  <c r="X400" i="24"/>
  <c r="Y400" i="24" s="1"/>
  <c r="S400" i="24"/>
  <c r="T400" i="24" s="1"/>
  <c r="M400" i="24"/>
  <c r="N400" i="24" s="1"/>
  <c r="H400" i="24"/>
  <c r="I400" i="24" s="1"/>
  <c r="X398" i="24"/>
  <c r="Y398" i="24" s="1"/>
  <c r="S398" i="24"/>
  <c r="T398" i="24" s="1"/>
  <c r="M398" i="24"/>
  <c r="N398" i="24" s="1"/>
  <c r="H398" i="24"/>
  <c r="I398" i="24" s="1"/>
  <c r="X397" i="24"/>
  <c r="Y397" i="24" s="1"/>
  <c r="S397" i="24"/>
  <c r="T397" i="24" s="1"/>
  <c r="M397" i="24"/>
  <c r="N397" i="24" s="1"/>
  <c r="H397" i="24"/>
  <c r="I397" i="24" s="1"/>
  <c r="X396" i="24"/>
  <c r="Y396" i="24" s="1"/>
  <c r="S396" i="24"/>
  <c r="T396" i="24" s="1"/>
  <c r="M396" i="24"/>
  <c r="N396" i="24" s="1"/>
  <c r="H396" i="24"/>
  <c r="I396" i="24" s="1"/>
  <c r="X395" i="24"/>
  <c r="Y395" i="24" s="1"/>
  <c r="S395" i="24"/>
  <c r="T395" i="24" s="1"/>
  <c r="M395" i="24"/>
  <c r="N395" i="24" s="1"/>
  <c r="H395" i="24"/>
  <c r="I395" i="24" s="1"/>
  <c r="X394" i="24"/>
  <c r="Y394" i="24" s="1"/>
  <c r="S394" i="24"/>
  <c r="T394" i="24" s="1"/>
  <c r="M394" i="24"/>
  <c r="N394" i="24" s="1"/>
  <c r="H394" i="24"/>
  <c r="I394" i="24" s="1"/>
  <c r="X393" i="24"/>
  <c r="Y393" i="24" s="1"/>
  <c r="S393" i="24"/>
  <c r="T393" i="24" s="1"/>
  <c r="M393" i="24"/>
  <c r="N393" i="24" s="1"/>
  <c r="H393" i="24"/>
  <c r="I393" i="24" s="1"/>
  <c r="X392" i="24"/>
  <c r="Y392" i="24" s="1"/>
  <c r="S392" i="24"/>
  <c r="T392" i="24" s="1"/>
  <c r="M392" i="24"/>
  <c r="N392" i="24" s="1"/>
  <c r="H392" i="24"/>
  <c r="I392" i="24" s="1"/>
  <c r="X391" i="24"/>
  <c r="Y391" i="24" s="1"/>
  <c r="S391" i="24"/>
  <c r="T391" i="24" s="1"/>
  <c r="M391" i="24"/>
  <c r="N391" i="24" s="1"/>
  <c r="H391" i="24"/>
  <c r="I391" i="24" s="1"/>
  <c r="X390" i="24"/>
  <c r="Y390" i="24" s="1"/>
  <c r="S390" i="24"/>
  <c r="T390" i="24" s="1"/>
  <c r="M390" i="24"/>
  <c r="N390" i="24" s="1"/>
  <c r="H390" i="24"/>
  <c r="I390" i="24" s="1"/>
  <c r="X389" i="24"/>
  <c r="Y389" i="24" s="1"/>
  <c r="S389" i="24"/>
  <c r="T389" i="24" s="1"/>
  <c r="M389" i="24"/>
  <c r="N389" i="24" s="1"/>
  <c r="H389" i="24"/>
  <c r="I389" i="24" s="1"/>
  <c r="X388" i="24"/>
  <c r="Y388" i="24" s="1"/>
  <c r="S388" i="24"/>
  <c r="T388" i="24" s="1"/>
  <c r="M388" i="24"/>
  <c r="N388" i="24" s="1"/>
  <c r="H388" i="24"/>
  <c r="I388" i="24" s="1"/>
  <c r="X387" i="24"/>
  <c r="Y387" i="24" s="1"/>
  <c r="S387" i="24"/>
  <c r="T387" i="24" s="1"/>
  <c r="M387" i="24"/>
  <c r="N387" i="24" s="1"/>
  <c r="H387" i="24"/>
  <c r="I387" i="24" s="1"/>
  <c r="X386" i="24"/>
  <c r="Y386" i="24" s="1"/>
  <c r="S386" i="24"/>
  <c r="T386" i="24" s="1"/>
  <c r="M386" i="24"/>
  <c r="N386" i="24" s="1"/>
  <c r="H386" i="24"/>
  <c r="I386" i="24" s="1"/>
  <c r="X384" i="24"/>
  <c r="Y384" i="24" s="1"/>
  <c r="S384" i="24"/>
  <c r="T384" i="24" s="1"/>
  <c r="M384" i="24"/>
  <c r="N384" i="24" s="1"/>
  <c r="H384" i="24"/>
  <c r="I384" i="24" s="1"/>
  <c r="X383" i="24"/>
  <c r="Y383" i="24" s="1"/>
  <c r="S383" i="24"/>
  <c r="T383" i="24" s="1"/>
  <c r="M383" i="24"/>
  <c r="N383" i="24" s="1"/>
  <c r="H383" i="24"/>
  <c r="I383" i="24" s="1"/>
  <c r="X382" i="24"/>
  <c r="Y382" i="24" s="1"/>
  <c r="S382" i="24"/>
  <c r="T382" i="24" s="1"/>
  <c r="M382" i="24"/>
  <c r="N382" i="24" s="1"/>
  <c r="H382" i="24"/>
  <c r="I382" i="24" s="1"/>
  <c r="X381" i="24"/>
  <c r="Y381" i="24" s="1"/>
  <c r="S381" i="24"/>
  <c r="T381" i="24" s="1"/>
  <c r="M381" i="24"/>
  <c r="N381" i="24" s="1"/>
  <c r="H381" i="24"/>
  <c r="I381" i="24" s="1"/>
  <c r="X380" i="24"/>
  <c r="Y380" i="24" s="1"/>
  <c r="S380" i="24"/>
  <c r="T380" i="24" s="1"/>
  <c r="M380" i="24"/>
  <c r="N380" i="24" s="1"/>
  <c r="H380" i="24"/>
  <c r="I380" i="24" s="1"/>
  <c r="X379" i="24"/>
  <c r="Y379" i="24" s="1"/>
  <c r="S379" i="24"/>
  <c r="T379" i="24" s="1"/>
  <c r="M379" i="24"/>
  <c r="N379" i="24" s="1"/>
  <c r="H379" i="24"/>
  <c r="I379" i="24" s="1"/>
  <c r="X378" i="24"/>
  <c r="Y378" i="24" s="1"/>
  <c r="S378" i="24"/>
  <c r="T378" i="24" s="1"/>
  <c r="M378" i="24"/>
  <c r="N378" i="24" s="1"/>
  <c r="H378" i="24"/>
  <c r="I378" i="24" s="1"/>
  <c r="X377" i="24"/>
  <c r="Y377" i="24" s="1"/>
  <c r="S377" i="24"/>
  <c r="T377" i="24" s="1"/>
  <c r="M377" i="24"/>
  <c r="N377" i="24" s="1"/>
  <c r="H377" i="24"/>
  <c r="I377" i="24" s="1"/>
  <c r="X376" i="24"/>
  <c r="Y376" i="24" s="1"/>
  <c r="S376" i="24"/>
  <c r="T376" i="24" s="1"/>
  <c r="M376" i="24"/>
  <c r="N376" i="24" s="1"/>
  <c r="H376" i="24"/>
  <c r="I376" i="24" s="1"/>
  <c r="X375" i="24"/>
  <c r="Y375" i="24" s="1"/>
  <c r="S375" i="24"/>
  <c r="T375" i="24" s="1"/>
  <c r="M375" i="24"/>
  <c r="N375" i="24" s="1"/>
  <c r="H375" i="24"/>
  <c r="I375" i="24" s="1"/>
  <c r="X374" i="24"/>
  <c r="Y374" i="24" s="1"/>
  <c r="S374" i="24"/>
  <c r="T374" i="24" s="1"/>
  <c r="M374" i="24"/>
  <c r="N374" i="24" s="1"/>
  <c r="H374" i="24"/>
  <c r="I374" i="24" s="1"/>
  <c r="X372" i="24"/>
  <c r="Y372" i="24" s="1"/>
  <c r="S372" i="24"/>
  <c r="T372" i="24" s="1"/>
  <c r="M372" i="24"/>
  <c r="N372" i="24" s="1"/>
  <c r="H372" i="24"/>
  <c r="I372" i="24" s="1"/>
  <c r="X370" i="24"/>
  <c r="Y370" i="24" s="1"/>
  <c r="S370" i="24"/>
  <c r="T370" i="24" s="1"/>
  <c r="M370" i="24"/>
  <c r="N370" i="24" s="1"/>
  <c r="H370" i="24"/>
  <c r="I370" i="24" s="1"/>
  <c r="X369" i="24"/>
  <c r="Y369" i="24" s="1"/>
  <c r="S369" i="24"/>
  <c r="T369" i="24" s="1"/>
  <c r="M369" i="24"/>
  <c r="N369" i="24" s="1"/>
  <c r="H369" i="24"/>
  <c r="I369" i="24" s="1"/>
  <c r="X367" i="24"/>
  <c r="Y367" i="24" s="1"/>
  <c r="S367" i="24"/>
  <c r="T367" i="24" s="1"/>
  <c r="M367" i="24"/>
  <c r="N367" i="24" s="1"/>
  <c r="H367" i="24"/>
  <c r="I367" i="24" s="1"/>
  <c r="X365" i="24"/>
  <c r="Y365" i="24" s="1"/>
  <c r="S365" i="24"/>
  <c r="T365" i="24" s="1"/>
  <c r="M365" i="24"/>
  <c r="N365" i="24" s="1"/>
  <c r="H365" i="24"/>
  <c r="I365" i="24" s="1"/>
  <c r="X364" i="24"/>
  <c r="Y364" i="24" s="1"/>
  <c r="S364" i="24"/>
  <c r="T364" i="24" s="1"/>
  <c r="M364" i="24"/>
  <c r="N364" i="24" s="1"/>
  <c r="H364" i="24"/>
  <c r="I364" i="24" s="1"/>
  <c r="X362" i="24"/>
  <c r="Y362" i="24" s="1"/>
  <c r="S362" i="24"/>
  <c r="T362" i="24" s="1"/>
  <c r="M362" i="24"/>
  <c r="N362" i="24" s="1"/>
  <c r="H362" i="24"/>
  <c r="I362" i="24" s="1"/>
  <c r="X361" i="24"/>
  <c r="Y361" i="24" s="1"/>
  <c r="S361" i="24"/>
  <c r="T361" i="24" s="1"/>
  <c r="M361" i="24"/>
  <c r="N361" i="24" s="1"/>
  <c r="H361" i="24"/>
  <c r="I361" i="24" s="1"/>
  <c r="X360" i="24"/>
  <c r="Y360" i="24" s="1"/>
  <c r="S360" i="24"/>
  <c r="T360" i="24" s="1"/>
  <c r="M360" i="24"/>
  <c r="N360" i="24" s="1"/>
  <c r="H360" i="24"/>
  <c r="I360" i="24" s="1"/>
  <c r="X359" i="24"/>
  <c r="Y359" i="24" s="1"/>
  <c r="S359" i="24"/>
  <c r="T359" i="24" s="1"/>
  <c r="M359" i="24"/>
  <c r="N359" i="24" s="1"/>
  <c r="H359" i="24"/>
  <c r="I359" i="24" s="1"/>
  <c r="X358" i="24"/>
  <c r="Y358" i="24" s="1"/>
  <c r="S358" i="24"/>
  <c r="T358" i="24" s="1"/>
  <c r="M358" i="24"/>
  <c r="N358" i="24" s="1"/>
  <c r="H358" i="24"/>
  <c r="I358" i="24" s="1"/>
  <c r="X357" i="24"/>
  <c r="Y357" i="24" s="1"/>
  <c r="S357" i="24"/>
  <c r="T357" i="24" s="1"/>
  <c r="M357" i="24"/>
  <c r="N357" i="24" s="1"/>
  <c r="H357" i="24"/>
  <c r="I357" i="24" s="1"/>
  <c r="X356" i="24"/>
  <c r="Y356" i="24" s="1"/>
  <c r="S356" i="24"/>
  <c r="T356" i="24" s="1"/>
  <c r="M356" i="24"/>
  <c r="N356" i="24" s="1"/>
  <c r="H356" i="24"/>
  <c r="I356" i="24" s="1"/>
  <c r="X355" i="24"/>
  <c r="Y355" i="24" s="1"/>
  <c r="S355" i="24"/>
  <c r="T355" i="24" s="1"/>
  <c r="M355" i="24"/>
  <c r="N355" i="24" s="1"/>
  <c r="H355" i="24"/>
  <c r="I355" i="24" s="1"/>
  <c r="X354" i="24"/>
  <c r="Y354" i="24" s="1"/>
  <c r="S354" i="24"/>
  <c r="T354" i="24" s="1"/>
  <c r="M354" i="24"/>
  <c r="N354" i="24" s="1"/>
  <c r="H354" i="24"/>
  <c r="I354" i="24" s="1"/>
  <c r="X353" i="24"/>
  <c r="Y353" i="24" s="1"/>
  <c r="S353" i="24"/>
  <c r="T353" i="24" s="1"/>
  <c r="M353" i="24"/>
  <c r="N353" i="24" s="1"/>
  <c r="H353" i="24"/>
  <c r="I353" i="24" s="1"/>
  <c r="AT352" i="24"/>
  <c r="AK352" i="24"/>
  <c r="AC352" i="24"/>
  <c r="BA351" i="24"/>
  <c r="AZ351" i="24"/>
  <c r="AZ352" i="24" s="1"/>
  <c r="AY351" i="24"/>
  <c r="AY352" i="24" s="1"/>
  <c r="AX351" i="24"/>
  <c r="AX352" i="24" s="1"/>
  <c r="AW351" i="24"/>
  <c r="AV351" i="24"/>
  <c r="AV352" i="24" s="1"/>
  <c r="AU351" i="24"/>
  <c r="AT351" i="24"/>
  <c r="AS351" i="24"/>
  <c r="AR351" i="24"/>
  <c r="AR352" i="24" s="1"/>
  <c r="AQ351" i="24"/>
  <c r="AQ352" i="24" s="1"/>
  <c r="AP351" i="24"/>
  <c r="AP352" i="24" s="1"/>
  <c r="AN351" i="24"/>
  <c r="AM351" i="24"/>
  <c r="AM352" i="24" s="1"/>
  <c r="AL351" i="24"/>
  <c r="AK351" i="24"/>
  <c r="AJ351" i="24"/>
  <c r="AI351" i="24"/>
  <c r="AI352" i="24" s="1"/>
  <c r="AH351" i="24"/>
  <c r="AG351" i="24"/>
  <c r="AG352" i="24" s="1"/>
  <c r="AF351" i="24"/>
  <c r="AE351" i="24"/>
  <c r="AE352" i="24" s="1"/>
  <c r="AD351" i="24"/>
  <c r="AC351" i="24"/>
  <c r="AA351" i="24"/>
  <c r="X351" i="24"/>
  <c r="W351" i="24"/>
  <c r="W352" i="24" s="1"/>
  <c r="V351" i="24"/>
  <c r="R351" i="24"/>
  <c r="R352" i="24" s="1"/>
  <c r="Q351" i="24"/>
  <c r="S351" i="24" s="1"/>
  <c r="L351" i="24"/>
  <c r="K351" i="24"/>
  <c r="H351" i="24"/>
  <c r="G351" i="24"/>
  <c r="F351" i="24"/>
  <c r="X350" i="24"/>
  <c r="Y350" i="24" s="1"/>
  <c r="T350" i="24"/>
  <c r="S350" i="24"/>
  <c r="M350" i="24"/>
  <c r="N350" i="24" s="1"/>
  <c r="H350" i="24"/>
  <c r="I350" i="24" s="1"/>
  <c r="X349" i="24"/>
  <c r="Y349" i="24" s="1"/>
  <c r="T349" i="24"/>
  <c r="S349" i="24"/>
  <c r="M349" i="24"/>
  <c r="N349" i="24" s="1"/>
  <c r="H349" i="24"/>
  <c r="I349" i="24" s="1"/>
  <c r="X348" i="24"/>
  <c r="Y348" i="24" s="1"/>
  <c r="S348" i="24"/>
  <c r="T348" i="24" s="1"/>
  <c r="M348" i="24"/>
  <c r="N348" i="24" s="1"/>
  <c r="H348" i="24"/>
  <c r="I348" i="24" s="1"/>
  <c r="X347" i="24"/>
  <c r="Y347" i="24" s="1"/>
  <c r="S347" i="24"/>
  <c r="T347" i="24" s="1"/>
  <c r="M347" i="24"/>
  <c r="N347" i="24" s="1"/>
  <c r="H347" i="24"/>
  <c r="I347" i="24" s="1"/>
  <c r="X346" i="24"/>
  <c r="Y346" i="24" s="1"/>
  <c r="S346" i="24"/>
  <c r="T346" i="24" s="1"/>
  <c r="M346" i="24"/>
  <c r="N346" i="24" s="1"/>
  <c r="H346" i="24"/>
  <c r="I346" i="24" s="1"/>
  <c r="X345" i="24"/>
  <c r="Y345" i="24" s="1"/>
  <c r="S345" i="24"/>
  <c r="T345" i="24" s="1"/>
  <c r="M345" i="24"/>
  <c r="N345" i="24" s="1"/>
  <c r="H345" i="24"/>
  <c r="I345" i="24" s="1"/>
  <c r="X344" i="24"/>
  <c r="Y344" i="24" s="1"/>
  <c r="S344" i="24"/>
  <c r="T344" i="24" s="1"/>
  <c r="M344" i="24"/>
  <c r="N344" i="24" s="1"/>
  <c r="H344" i="24"/>
  <c r="I344" i="24" s="1"/>
  <c r="X343" i="24"/>
  <c r="Y343" i="24" s="1"/>
  <c r="S343" i="24"/>
  <c r="T343" i="24" s="1"/>
  <c r="M343" i="24"/>
  <c r="N343" i="24" s="1"/>
  <c r="H343" i="24"/>
  <c r="I343" i="24" s="1"/>
  <c r="X342" i="24"/>
  <c r="Y342" i="24" s="1"/>
  <c r="S342" i="24"/>
  <c r="T342" i="24" s="1"/>
  <c r="M342" i="24"/>
  <c r="N342" i="24" s="1"/>
  <c r="H342" i="24"/>
  <c r="I342" i="24" s="1"/>
  <c r="X341" i="24"/>
  <c r="Y341" i="24" s="1"/>
  <c r="S341" i="24"/>
  <c r="T341" i="24" s="1"/>
  <c r="M341" i="24"/>
  <c r="N341" i="24" s="1"/>
  <c r="H341" i="24"/>
  <c r="I341" i="24" s="1"/>
  <c r="X340" i="24"/>
  <c r="Y340" i="24" s="1"/>
  <c r="S340" i="24"/>
  <c r="T340" i="24" s="1"/>
  <c r="M340" i="24"/>
  <c r="N340" i="24" s="1"/>
  <c r="H340" i="24"/>
  <c r="I340" i="24" s="1"/>
  <c r="X339" i="24"/>
  <c r="Y339" i="24" s="1"/>
  <c r="S339" i="24"/>
  <c r="T339" i="24" s="1"/>
  <c r="M339" i="24"/>
  <c r="N339" i="24" s="1"/>
  <c r="H339" i="24"/>
  <c r="I339" i="24" s="1"/>
  <c r="X338" i="24"/>
  <c r="Y338" i="24" s="1"/>
  <c r="S338" i="24"/>
  <c r="T338" i="24" s="1"/>
  <c r="M338" i="24"/>
  <c r="N338" i="24" s="1"/>
  <c r="H338" i="24"/>
  <c r="I338" i="24" s="1"/>
  <c r="X337" i="24"/>
  <c r="Y337" i="24" s="1"/>
  <c r="S337" i="24"/>
  <c r="T337" i="24" s="1"/>
  <c r="M337" i="24"/>
  <c r="N337" i="24" s="1"/>
  <c r="H337" i="24"/>
  <c r="I337" i="24" s="1"/>
  <c r="X336" i="24"/>
  <c r="Y336" i="24" s="1"/>
  <c r="S336" i="24"/>
  <c r="T336" i="24" s="1"/>
  <c r="M336" i="24"/>
  <c r="N336" i="24" s="1"/>
  <c r="H336" i="24"/>
  <c r="I336" i="24" s="1"/>
  <c r="X335" i="24"/>
  <c r="Y335" i="24" s="1"/>
  <c r="S335" i="24"/>
  <c r="T335" i="24" s="1"/>
  <c r="M335" i="24"/>
  <c r="N335" i="24" s="1"/>
  <c r="H335" i="24"/>
  <c r="I335" i="24" s="1"/>
  <c r="X334" i="24"/>
  <c r="Y334" i="24" s="1"/>
  <c r="S334" i="24"/>
  <c r="T334" i="24" s="1"/>
  <c r="M334" i="24"/>
  <c r="N334" i="24" s="1"/>
  <c r="H334" i="24"/>
  <c r="I334" i="24" s="1"/>
  <c r="X333" i="24"/>
  <c r="Y333" i="24" s="1"/>
  <c r="S333" i="24"/>
  <c r="T333" i="24" s="1"/>
  <c r="M333" i="24"/>
  <c r="N333" i="24" s="1"/>
  <c r="H333" i="24"/>
  <c r="I333" i="24" s="1"/>
  <c r="X332" i="24"/>
  <c r="Y332" i="24" s="1"/>
  <c r="S332" i="24"/>
  <c r="T332" i="24" s="1"/>
  <c r="M332" i="24"/>
  <c r="N332" i="24" s="1"/>
  <c r="H332" i="24"/>
  <c r="I332" i="24" s="1"/>
  <c r="X331" i="24"/>
  <c r="Y331" i="24" s="1"/>
  <c r="S331" i="24"/>
  <c r="T331" i="24" s="1"/>
  <c r="M331" i="24"/>
  <c r="N331" i="24" s="1"/>
  <c r="H331" i="24"/>
  <c r="I331" i="24" s="1"/>
  <c r="X330" i="24"/>
  <c r="Y330" i="24" s="1"/>
  <c r="S330" i="24"/>
  <c r="T330" i="24" s="1"/>
  <c r="M330" i="24"/>
  <c r="N330" i="24" s="1"/>
  <c r="H330" i="24"/>
  <c r="I330" i="24" s="1"/>
  <c r="X329" i="24"/>
  <c r="Y329" i="24" s="1"/>
  <c r="S329" i="24"/>
  <c r="T329" i="24" s="1"/>
  <c r="M329" i="24"/>
  <c r="N329" i="24" s="1"/>
  <c r="H329" i="24"/>
  <c r="I329" i="24" s="1"/>
  <c r="X328" i="24"/>
  <c r="Y328" i="24" s="1"/>
  <c r="S328" i="24"/>
  <c r="T328" i="24" s="1"/>
  <c r="M328" i="24"/>
  <c r="N328" i="24" s="1"/>
  <c r="H328" i="24"/>
  <c r="I328" i="24" s="1"/>
  <c r="X327" i="24"/>
  <c r="Y327" i="24" s="1"/>
  <c r="S327" i="24"/>
  <c r="T327" i="24" s="1"/>
  <c r="M327" i="24"/>
  <c r="N327" i="24" s="1"/>
  <c r="H327" i="24"/>
  <c r="I327" i="24" s="1"/>
  <c r="X326" i="24"/>
  <c r="Y326" i="24" s="1"/>
  <c r="S326" i="24"/>
  <c r="T326" i="24" s="1"/>
  <c r="M326" i="24"/>
  <c r="N326" i="24" s="1"/>
  <c r="H326" i="24"/>
  <c r="I326" i="24" s="1"/>
  <c r="X325" i="24"/>
  <c r="Y325" i="24" s="1"/>
  <c r="S325" i="24"/>
  <c r="T325" i="24" s="1"/>
  <c r="M325" i="24"/>
  <c r="N325" i="24" s="1"/>
  <c r="H325" i="24"/>
  <c r="I325" i="24" s="1"/>
  <c r="X324" i="24"/>
  <c r="Y324" i="24" s="1"/>
  <c r="S324" i="24"/>
  <c r="T324" i="24" s="1"/>
  <c r="M324" i="24"/>
  <c r="N324" i="24" s="1"/>
  <c r="H324" i="24"/>
  <c r="I324" i="24" s="1"/>
  <c r="X323" i="24"/>
  <c r="Y323" i="24" s="1"/>
  <c r="S323" i="24"/>
  <c r="T323" i="24" s="1"/>
  <c r="M323" i="24"/>
  <c r="N323" i="24" s="1"/>
  <c r="H323" i="24"/>
  <c r="I323" i="24" s="1"/>
  <c r="X322" i="24"/>
  <c r="Y322" i="24" s="1"/>
  <c r="S322" i="24"/>
  <c r="T322" i="24" s="1"/>
  <c r="M322" i="24"/>
  <c r="N322" i="24" s="1"/>
  <c r="H322" i="24"/>
  <c r="I322" i="24" s="1"/>
  <c r="X321" i="24"/>
  <c r="Y321" i="24" s="1"/>
  <c r="S321" i="24"/>
  <c r="T321" i="24" s="1"/>
  <c r="M321" i="24"/>
  <c r="N321" i="24" s="1"/>
  <c r="H321" i="24"/>
  <c r="I321" i="24" s="1"/>
  <c r="X320" i="24"/>
  <c r="Y320" i="24" s="1"/>
  <c r="S320" i="24"/>
  <c r="T320" i="24" s="1"/>
  <c r="M320" i="24"/>
  <c r="N320" i="24" s="1"/>
  <c r="H320" i="24"/>
  <c r="I320" i="24" s="1"/>
  <c r="X319" i="24"/>
  <c r="Y319" i="24" s="1"/>
  <c r="S319" i="24"/>
  <c r="T319" i="24" s="1"/>
  <c r="M319" i="24"/>
  <c r="N319" i="24" s="1"/>
  <c r="H319" i="24"/>
  <c r="I319" i="24" s="1"/>
  <c r="X318" i="24"/>
  <c r="Y318" i="24" s="1"/>
  <c r="S318" i="24"/>
  <c r="T318" i="24" s="1"/>
  <c r="M318" i="24"/>
  <c r="N318" i="24" s="1"/>
  <c r="H318" i="24"/>
  <c r="I318" i="24" s="1"/>
  <c r="X317" i="24"/>
  <c r="Y317" i="24" s="1"/>
  <c r="S317" i="24"/>
  <c r="T317" i="24" s="1"/>
  <c r="M317" i="24"/>
  <c r="N317" i="24" s="1"/>
  <c r="H317" i="24"/>
  <c r="I317" i="24" s="1"/>
  <c r="X316" i="24"/>
  <c r="Y316" i="24" s="1"/>
  <c r="S316" i="24"/>
  <c r="T316" i="24" s="1"/>
  <c r="M316" i="24"/>
  <c r="N316" i="24" s="1"/>
  <c r="H316" i="24"/>
  <c r="I316" i="24" s="1"/>
  <c r="X315" i="24"/>
  <c r="Y315" i="24" s="1"/>
  <c r="S315" i="24"/>
  <c r="T315" i="24" s="1"/>
  <c r="M315" i="24"/>
  <c r="N315" i="24" s="1"/>
  <c r="H315" i="24"/>
  <c r="I315" i="24" s="1"/>
  <c r="X314" i="24"/>
  <c r="Y314" i="24" s="1"/>
  <c r="S314" i="24"/>
  <c r="T314" i="24" s="1"/>
  <c r="M314" i="24"/>
  <c r="N314" i="24" s="1"/>
  <c r="H314" i="24"/>
  <c r="I314" i="24" s="1"/>
  <c r="X313" i="24"/>
  <c r="Y313" i="24" s="1"/>
  <c r="S313" i="24"/>
  <c r="T313" i="24" s="1"/>
  <c r="M313" i="24"/>
  <c r="N313" i="24" s="1"/>
  <c r="H313" i="24"/>
  <c r="I313" i="24" s="1"/>
  <c r="X312" i="24"/>
  <c r="Y312" i="24" s="1"/>
  <c r="S312" i="24"/>
  <c r="T312" i="24" s="1"/>
  <c r="M312" i="24"/>
  <c r="N312" i="24" s="1"/>
  <c r="H312" i="24"/>
  <c r="I312" i="24" s="1"/>
  <c r="X311" i="24"/>
  <c r="Y311" i="24" s="1"/>
  <c r="S311" i="24"/>
  <c r="T311" i="24" s="1"/>
  <c r="M311" i="24"/>
  <c r="N311" i="24" s="1"/>
  <c r="H311" i="24"/>
  <c r="I311" i="24" s="1"/>
  <c r="X310" i="24"/>
  <c r="Y310" i="24" s="1"/>
  <c r="S310" i="24"/>
  <c r="T310" i="24" s="1"/>
  <c r="M310" i="24"/>
  <c r="N310" i="24" s="1"/>
  <c r="H310" i="24"/>
  <c r="I310" i="24" s="1"/>
  <c r="X309" i="24"/>
  <c r="Y309" i="24" s="1"/>
  <c r="S309" i="24"/>
  <c r="T309" i="24" s="1"/>
  <c r="M309" i="24"/>
  <c r="N309" i="24" s="1"/>
  <c r="H309" i="24"/>
  <c r="I309" i="24" s="1"/>
  <c r="X308" i="24"/>
  <c r="Y308" i="24" s="1"/>
  <c r="S308" i="24"/>
  <c r="T308" i="24" s="1"/>
  <c r="M308" i="24"/>
  <c r="N308" i="24" s="1"/>
  <c r="H308" i="24"/>
  <c r="I308" i="24" s="1"/>
  <c r="X307" i="24"/>
  <c r="Y307" i="24" s="1"/>
  <c r="S307" i="24"/>
  <c r="T307" i="24" s="1"/>
  <c r="M307" i="24"/>
  <c r="N307" i="24" s="1"/>
  <c r="H307" i="24"/>
  <c r="I307" i="24" s="1"/>
  <c r="X306" i="24"/>
  <c r="Y306" i="24" s="1"/>
  <c r="S306" i="24"/>
  <c r="T306" i="24" s="1"/>
  <c r="M306" i="24"/>
  <c r="N306" i="24" s="1"/>
  <c r="H306" i="24"/>
  <c r="I306" i="24" s="1"/>
  <c r="X305" i="24"/>
  <c r="Y305" i="24" s="1"/>
  <c r="S305" i="24"/>
  <c r="T305" i="24" s="1"/>
  <c r="M305" i="24"/>
  <c r="N305" i="24" s="1"/>
  <c r="H305" i="24"/>
  <c r="I305" i="24" s="1"/>
  <c r="X304" i="24"/>
  <c r="Y304" i="24" s="1"/>
  <c r="S304" i="24"/>
  <c r="T304" i="24" s="1"/>
  <c r="M304" i="24"/>
  <c r="N304" i="24" s="1"/>
  <c r="H304" i="24"/>
  <c r="I304" i="24" s="1"/>
  <c r="X303" i="24"/>
  <c r="Y303" i="24" s="1"/>
  <c r="S303" i="24"/>
  <c r="T303" i="24" s="1"/>
  <c r="M303" i="24"/>
  <c r="N303" i="24" s="1"/>
  <c r="H303" i="24"/>
  <c r="I303" i="24" s="1"/>
  <c r="X302" i="24"/>
  <c r="Y302" i="24" s="1"/>
  <c r="S302" i="24"/>
  <c r="T302" i="24" s="1"/>
  <c r="M302" i="24"/>
  <c r="N302" i="24" s="1"/>
  <c r="H302" i="24"/>
  <c r="I302" i="24" s="1"/>
  <c r="X301" i="24"/>
  <c r="Y301" i="24" s="1"/>
  <c r="S301" i="24"/>
  <c r="T301" i="24" s="1"/>
  <c r="M301" i="24"/>
  <c r="N301" i="24" s="1"/>
  <c r="H301" i="24"/>
  <c r="I301" i="24" s="1"/>
  <c r="X300" i="24"/>
  <c r="Y300" i="24" s="1"/>
  <c r="S300" i="24"/>
  <c r="T300" i="24" s="1"/>
  <c r="M300" i="24"/>
  <c r="N300" i="24" s="1"/>
  <c r="H300" i="24"/>
  <c r="I300" i="24" s="1"/>
  <c r="X299" i="24"/>
  <c r="Y299" i="24" s="1"/>
  <c r="S299" i="24"/>
  <c r="T299" i="24" s="1"/>
  <c r="M299" i="24"/>
  <c r="N299" i="24" s="1"/>
  <c r="H299" i="24"/>
  <c r="I299" i="24" s="1"/>
  <c r="X298" i="24"/>
  <c r="Y298" i="24" s="1"/>
  <c r="S298" i="24"/>
  <c r="T298" i="24" s="1"/>
  <c r="M298" i="24"/>
  <c r="N298" i="24" s="1"/>
  <c r="H298" i="24"/>
  <c r="I298" i="24" s="1"/>
  <c r="X297" i="24"/>
  <c r="Y297" i="24" s="1"/>
  <c r="S297" i="24"/>
  <c r="T297" i="24" s="1"/>
  <c r="M297" i="24"/>
  <c r="N297" i="24" s="1"/>
  <c r="H297" i="24"/>
  <c r="I297" i="24" s="1"/>
  <c r="X296" i="24"/>
  <c r="Y296" i="24" s="1"/>
  <c r="S296" i="24"/>
  <c r="T296" i="24" s="1"/>
  <c r="M296" i="24"/>
  <c r="N296" i="24" s="1"/>
  <c r="H296" i="24"/>
  <c r="I296" i="24" s="1"/>
  <c r="X295" i="24"/>
  <c r="Y295" i="24" s="1"/>
  <c r="S295" i="24"/>
  <c r="T295" i="24" s="1"/>
  <c r="M295" i="24"/>
  <c r="N295" i="24" s="1"/>
  <c r="H295" i="24"/>
  <c r="I295" i="24" s="1"/>
  <c r="X294" i="24"/>
  <c r="Y294" i="24" s="1"/>
  <c r="S294" i="24"/>
  <c r="T294" i="24" s="1"/>
  <c r="M294" i="24"/>
  <c r="N294" i="24" s="1"/>
  <c r="H294" i="24"/>
  <c r="I294" i="24" s="1"/>
  <c r="X293" i="24"/>
  <c r="Y293" i="24" s="1"/>
  <c r="S293" i="24"/>
  <c r="T293" i="24" s="1"/>
  <c r="M293" i="24"/>
  <c r="N293" i="24" s="1"/>
  <c r="H293" i="24"/>
  <c r="I293" i="24" s="1"/>
  <c r="X292" i="24"/>
  <c r="Y292" i="24" s="1"/>
  <c r="S292" i="24"/>
  <c r="T292" i="24" s="1"/>
  <c r="M292" i="24"/>
  <c r="N292" i="24" s="1"/>
  <c r="H292" i="24"/>
  <c r="I292" i="24" s="1"/>
  <c r="X291" i="24"/>
  <c r="Y291" i="24" s="1"/>
  <c r="S291" i="24"/>
  <c r="T291" i="24" s="1"/>
  <c r="M291" i="24"/>
  <c r="N291" i="24" s="1"/>
  <c r="H291" i="24"/>
  <c r="I291" i="24" s="1"/>
  <c r="X290" i="24"/>
  <c r="Y290" i="24" s="1"/>
  <c r="S290" i="24"/>
  <c r="T290" i="24" s="1"/>
  <c r="M290" i="24"/>
  <c r="N290" i="24" s="1"/>
  <c r="H290" i="24"/>
  <c r="I290" i="24" s="1"/>
  <c r="X289" i="24"/>
  <c r="Y289" i="24" s="1"/>
  <c r="S289" i="24"/>
  <c r="T289" i="24" s="1"/>
  <c r="M289" i="24"/>
  <c r="N289" i="24" s="1"/>
  <c r="H289" i="24"/>
  <c r="I289" i="24" s="1"/>
  <c r="X288" i="24"/>
  <c r="Y288" i="24" s="1"/>
  <c r="S288" i="24"/>
  <c r="T288" i="24" s="1"/>
  <c r="M288" i="24"/>
  <c r="N288" i="24" s="1"/>
  <c r="H288" i="24"/>
  <c r="I288" i="24" s="1"/>
  <c r="X287" i="24"/>
  <c r="Y287" i="24" s="1"/>
  <c r="S287" i="24"/>
  <c r="T287" i="24" s="1"/>
  <c r="M287" i="24"/>
  <c r="N287" i="24" s="1"/>
  <c r="H287" i="24"/>
  <c r="I287" i="24" s="1"/>
  <c r="X286" i="24"/>
  <c r="Y286" i="24" s="1"/>
  <c r="S286" i="24"/>
  <c r="T286" i="24" s="1"/>
  <c r="M286" i="24"/>
  <c r="N286" i="24" s="1"/>
  <c r="H286" i="24"/>
  <c r="I286" i="24" s="1"/>
  <c r="X284" i="24"/>
  <c r="Y284" i="24" s="1"/>
  <c r="S284" i="24"/>
  <c r="T284" i="24" s="1"/>
  <c r="M284" i="24"/>
  <c r="N284" i="24" s="1"/>
  <c r="H284" i="24"/>
  <c r="I284" i="24" s="1"/>
  <c r="X283" i="24"/>
  <c r="Y283" i="24" s="1"/>
  <c r="S283" i="24"/>
  <c r="T283" i="24" s="1"/>
  <c r="M283" i="24"/>
  <c r="N283" i="24" s="1"/>
  <c r="H283" i="24"/>
  <c r="I283" i="24" s="1"/>
  <c r="X282" i="24"/>
  <c r="Y282" i="24" s="1"/>
  <c r="S282" i="24"/>
  <c r="T282" i="24" s="1"/>
  <c r="M282" i="24"/>
  <c r="N282" i="24" s="1"/>
  <c r="H282" i="24"/>
  <c r="I282" i="24" s="1"/>
  <c r="X281" i="24"/>
  <c r="Y281" i="24" s="1"/>
  <c r="S281" i="24"/>
  <c r="T281" i="24" s="1"/>
  <c r="M281" i="24"/>
  <c r="N281" i="24" s="1"/>
  <c r="H281" i="24"/>
  <c r="I281" i="24" s="1"/>
  <c r="X280" i="24"/>
  <c r="Y280" i="24" s="1"/>
  <c r="S280" i="24"/>
  <c r="T280" i="24" s="1"/>
  <c r="M280" i="24"/>
  <c r="N280" i="24" s="1"/>
  <c r="H280" i="24"/>
  <c r="I280" i="24" s="1"/>
  <c r="X279" i="24"/>
  <c r="Y279" i="24" s="1"/>
  <c r="S279" i="24"/>
  <c r="T279" i="24" s="1"/>
  <c r="M279" i="24"/>
  <c r="N279" i="24" s="1"/>
  <c r="H279" i="24"/>
  <c r="I279" i="24" s="1"/>
  <c r="X278" i="24"/>
  <c r="Y278" i="24" s="1"/>
  <c r="S278" i="24"/>
  <c r="T278" i="24" s="1"/>
  <c r="M278" i="24"/>
  <c r="N278" i="24" s="1"/>
  <c r="H278" i="24"/>
  <c r="I278" i="24" s="1"/>
  <c r="X277" i="24"/>
  <c r="Y277" i="24" s="1"/>
  <c r="S277" i="24"/>
  <c r="T277" i="24" s="1"/>
  <c r="M277" i="24"/>
  <c r="N277" i="24" s="1"/>
  <c r="H277" i="24"/>
  <c r="I277" i="24" s="1"/>
  <c r="X276" i="24"/>
  <c r="Y276" i="24" s="1"/>
  <c r="S276" i="24"/>
  <c r="T276" i="24" s="1"/>
  <c r="M276" i="24"/>
  <c r="N276" i="24" s="1"/>
  <c r="H276" i="24"/>
  <c r="I276" i="24" s="1"/>
  <c r="X275" i="24"/>
  <c r="Y275" i="24" s="1"/>
  <c r="S275" i="24"/>
  <c r="T275" i="24" s="1"/>
  <c r="M275" i="24"/>
  <c r="N275" i="24" s="1"/>
  <c r="H275" i="24"/>
  <c r="I275" i="24" s="1"/>
  <c r="X274" i="24"/>
  <c r="Y274" i="24" s="1"/>
  <c r="S274" i="24"/>
  <c r="T274" i="24" s="1"/>
  <c r="M274" i="24"/>
  <c r="N274" i="24" s="1"/>
  <c r="H274" i="24"/>
  <c r="I274" i="24" s="1"/>
  <c r="X273" i="24"/>
  <c r="Y273" i="24" s="1"/>
  <c r="S273" i="24"/>
  <c r="T273" i="24" s="1"/>
  <c r="M273" i="24"/>
  <c r="N273" i="24" s="1"/>
  <c r="H273" i="24"/>
  <c r="I273" i="24" s="1"/>
  <c r="X272" i="24"/>
  <c r="Y272" i="24" s="1"/>
  <c r="S272" i="24"/>
  <c r="T272" i="24" s="1"/>
  <c r="M272" i="24"/>
  <c r="N272" i="24" s="1"/>
  <c r="H272" i="24"/>
  <c r="I272" i="24" s="1"/>
  <c r="X271" i="24"/>
  <c r="Y271" i="24" s="1"/>
  <c r="S271" i="24"/>
  <c r="T271" i="24" s="1"/>
  <c r="M271" i="24"/>
  <c r="N271" i="24" s="1"/>
  <c r="H271" i="24"/>
  <c r="I271" i="24" s="1"/>
  <c r="X270" i="24"/>
  <c r="Y270" i="24" s="1"/>
  <c r="S270" i="24"/>
  <c r="T270" i="24" s="1"/>
  <c r="M270" i="24"/>
  <c r="N270" i="24" s="1"/>
  <c r="H270" i="24"/>
  <c r="I270" i="24" s="1"/>
  <c r="X269" i="24"/>
  <c r="Y269" i="24" s="1"/>
  <c r="S269" i="24"/>
  <c r="T269" i="24" s="1"/>
  <c r="M269" i="24"/>
  <c r="N269" i="24" s="1"/>
  <c r="H269" i="24"/>
  <c r="I269" i="24" s="1"/>
  <c r="X268" i="24"/>
  <c r="Y268" i="24" s="1"/>
  <c r="S268" i="24"/>
  <c r="T268" i="24" s="1"/>
  <c r="M268" i="24"/>
  <c r="N268" i="24" s="1"/>
  <c r="H268" i="24"/>
  <c r="I268" i="24" s="1"/>
  <c r="X266" i="24"/>
  <c r="Y266" i="24" s="1"/>
  <c r="S266" i="24"/>
  <c r="T266" i="24" s="1"/>
  <c r="M266" i="24"/>
  <c r="N266" i="24" s="1"/>
  <c r="H266" i="24"/>
  <c r="I266" i="24" s="1"/>
  <c r="X265" i="24"/>
  <c r="Y265" i="24" s="1"/>
  <c r="S265" i="24"/>
  <c r="T265" i="24" s="1"/>
  <c r="M265" i="24"/>
  <c r="N265" i="24" s="1"/>
  <c r="H265" i="24"/>
  <c r="I265" i="24" s="1"/>
  <c r="X264" i="24"/>
  <c r="Y264" i="24" s="1"/>
  <c r="S264" i="24"/>
  <c r="T264" i="24" s="1"/>
  <c r="M264" i="24"/>
  <c r="N264" i="24" s="1"/>
  <c r="H264" i="24"/>
  <c r="I264" i="24" s="1"/>
  <c r="X263" i="24"/>
  <c r="Y263" i="24" s="1"/>
  <c r="S263" i="24"/>
  <c r="T263" i="24" s="1"/>
  <c r="M263" i="24"/>
  <c r="N263" i="24" s="1"/>
  <c r="H263" i="24"/>
  <c r="I263" i="24" s="1"/>
  <c r="X262" i="24"/>
  <c r="Y262" i="24" s="1"/>
  <c r="S262" i="24"/>
  <c r="T262" i="24" s="1"/>
  <c r="M262" i="24"/>
  <c r="N262" i="24" s="1"/>
  <c r="H262" i="24"/>
  <c r="I262" i="24" s="1"/>
  <c r="X261" i="24"/>
  <c r="Y261" i="24" s="1"/>
  <c r="S261" i="24"/>
  <c r="T261" i="24" s="1"/>
  <c r="M261" i="24"/>
  <c r="N261" i="24" s="1"/>
  <c r="H261" i="24"/>
  <c r="I261" i="24" s="1"/>
  <c r="X260" i="24"/>
  <c r="Y260" i="24" s="1"/>
  <c r="S260" i="24"/>
  <c r="T260" i="24" s="1"/>
  <c r="M260" i="24"/>
  <c r="N260" i="24" s="1"/>
  <c r="H260" i="24"/>
  <c r="I260" i="24" s="1"/>
  <c r="X259" i="24"/>
  <c r="Y259" i="24" s="1"/>
  <c r="S259" i="24"/>
  <c r="T259" i="24" s="1"/>
  <c r="M259" i="24"/>
  <c r="N259" i="24" s="1"/>
  <c r="H259" i="24"/>
  <c r="I259" i="24" s="1"/>
  <c r="X258" i="24"/>
  <c r="Y258" i="24" s="1"/>
  <c r="S258" i="24"/>
  <c r="T258" i="24" s="1"/>
  <c r="M258" i="24"/>
  <c r="N258" i="24" s="1"/>
  <c r="H258" i="24"/>
  <c r="I258" i="24" s="1"/>
  <c r="X257" i="24"/>
  <c r="Y257" i="24" s="1"/>
  <c r="S257" i="24"/>
  <c r="T257" i="24" s="1"/>
  <c r="M257" i="24"/>
  <c r="N257" i="24" s="1"/>
  <c r="H257" i="24"/>
  <c r="I257" i="24" s="1"/>
  <c r="X256" i="24"/>
  <c r="Y256" i="24" s="1"/>
  <c r="S256" i="24"/>
  <c r="T256" i="24" s="1"/>
  <c r="M256" i="24"/>
  <c r="N256" i="24" s="1"/>
  <c r="H256" i="24"/>
  <c r="I256" i="24" s="1"/>
  <c r="X255" i="24"/>
  <c r="Y255" i="24" s="1"/>
  <c r="S255" i="24"/>
  <c r="T255" i="24" s="1"/>
  <c r="M255" i="24"/>
  <c r="N255" i="24" s="1"/>
  <c r="H255" i="24"/>
  <c r="I255" i="24" s="1"/>
  <c r="X254" i="24"/>
  <c r="Y254" i="24" s="1"/>
  <c r="S254" i="24"/>
  <c r="T254" i="24" s="1"/>
  <c r="M254" i="24"/>
  <c r="N254" i="24" s="1"/>
  <c r="H254" i="24"/>
  <c r="I254" i="24" s="1"/>
  <c r="X253" i="24"/>
  <c r="Y253" i="24" s="1"/>
  <c r="S253" i="24"/>
  <c r="T253" i="24" s="1"/>
  <c r="M253" i="24"/>
  <c r="N253" i="24" s="1"/>
  <c r="H253" i="24"/>
  <c r="I253" i="24" s="1"/>
  <c r="X252" i="24"/>
  <c r="Y252" i="24" s="1"/>
  <c r="S252" i="24"/>
  <c r="T252" i="24" s="1"/>
  <c r="M252" i="24"/>
  <c r="N252" i="24" s="1"/>
  <c r="H252" i="24"/>
  <c r="I252" i="24" s="1"/>
  <c r="X251" i="24"/>
  <c r="Y251" i="24" s="1"/>
  <c r="S251" i="24"/>
  <c r="T251" i="24" s="1"/>
  <c r="M251" i="24"/>
  <c r="N251" i="24" s="1"/>
  <c r="H251" i="24"/>
  <c r="I251" i="24" s="1"/>
  <c r="X250" i="24"/>
  <c r="Y250" i="24" s="1"/>
  <c r="S250" i="24"/>
  <c r="T250" i="24" s="1"/>
  <c r="M250" i="24"/>
  <c r="N250" i="24" s="1"/>
  <c r="H250" i="24"/>
  <c r="I250" i="24" s="1"/>
  <c r="X249" i="24"/>
  <c r="Y249" i="24" s="1"/>
  <c r="S249" i="24"/>
  <c r="T249" i="24" s="1"/>
  <c r="M249" i="24"/>
  <c r="N249" i="24" s="1"/>
  <c r="H249" i="24"/>
  <c r="I249" i="24" s="1"/>
  <c r="X247" i="24"/>
  <c r="Y247" i="24" s="1"/>
  <c r="S247" i="24"/>
  <c r="T247" i="24" s="1"/>
  <c r="M247" i="24"/>
  <c r="N247" i="24" s="1"/>
  <c r="H247" i="24"/>
  <c r="I247" i="24" s="1"/>
  <c r="X245" i="24"/>
  <c r="Y245" i="24" s="1"/>
  <c r="S245" i="24"/>
  <c r="T245" i="24" s="1"/>
  <c r="M245" i="24"/>
  <c r="N245" i="24" s="1"/>
  <c r="H245" i="24"/>
  <c r="I245" i="24" s="1"/>
  <c r="X244" i="24"/>
  <c r="Y244" i="24" s="1"/>
  <c r="S244" i="24"/>
  <c r="T244" i="24" s="1"/>
  <c r="M244" i="24"/>
  <c r="N244" i="24" s="1"/>
  <c r="H244" i="24"/>
  <c r="I244" i="24" s="1"/>
  <c r="X243" i="24"/>
  <c r="Y243" i="24" s="1"/>
  <c r="S243" i="24"/>
  <c r="T243" i="24" s="1"/>
  <c r="M243" i="24"/>
  <c r="N243" i="24" s="1"/>
  <c r="H243" i="24"/>
  <c r="I243" i="24" s="1"/>
  <c r="X242" i="24"/>
  <c r="Y242" i="24" s="1"/>
  <c r="S242" i="24"/>
  <c r="T242" i="24" s="1"/>
  <c r="M242" i="24"/>
  <c r="N242" i="24" s="1"/>
  <c r="H242" i="24"/>
  <c r="I242" i="24" s="1"/>
  <c r="X241" i="24"/>
  <c r="Y241" i="24" s="1"/>
  <c r="S241" i="24"/>
  <c r="T241" i="24" s="1"/>
  <c r="M241" i="24"/>
  <c r="N241" i="24" s="1"/>
  <c r="H241" i="24"/>
  <c r="I241" i="24" s="1"/>
  <c r="X240" i="24"/>
  <c r="Y240" i="24" s="1"/>
  <c r="S240" i="24"/>
  <c r="T240" i="24" s="1"/>
  <c r="M240" i="24"/>
  <c r="N240" i="24" s="1"/>
  <c r="H240" i="24"/>
  <c r="I240" i="24" s="1"/>
  <c r="X239" i="24"/>
  <c r="Y239" i="24" s="1"/>
  <c r="S239" i="24"/>
  <c r="T239" i="24" s="1"/>
  <c r="M239" i="24"/>
  <c r="N239" i="24" s="1"/>
  <c r="H239" i="24"/>
  <c r="I239" i="24" s="1"/>
  <c r="X238" i="24"/>
  <c r="Y238" i="24" s="1"/>
  <c r="S238" i="24"/>
  <c r="T238" i="24" s="1"/>
  <c r="M238" i="24"/>
  <c r="N238" i="24" s="1"/>
  <c r="H238" i="24"/>
  <c r="I238" i="24" s="1"/>
  <c r="X237" i="24"/>
  <c r="Y237" i="24" s="1"/>
  <c r="S237" i="24"/>
  <c r="T237" i="24" s="1"/>
  <c r="M237" i="24"/>
  <c r="N237" i="24" s="1"/>
  <c r="H237" i="24"/>
  <c r="I237" i="24" s="1"/>
  <c r="X236" i="24"/>
  <c r="Y236" i="24" s="1"/>
  <c r="S236" i="24"/>
  <c r="T236" i="24" s="1"/>
  <c r="M236" i="24"/>
  <c r="N236" i="24" s="1"/>
  <c r="H236" i="24"/>
  <c r="I236" i="24" s="1"/>
  <c r="X235" i="24"/>
  <c r="Y235" i="24" s="1"/>
  <c r="S235" i="24"/>
  <c r="T235" i="24" s="1"/>
  <c r="M235" i="24"/>
  <c r="N235" i="24" s="1"/>
  <c r="H235" i="24"/>
  <c r="I235" i="24" s="1"/>
  <c r="X234" i="24"/>
  <c r="Y234" i="24" s="1"/>
  <c r="S234" i="24"/>
  <c r="T234" i="24" s="1"/>
  <c r="M234" i="24"/>
  <c r="N234" i="24" s="1"/>
  <c r="H234" i="24"/>
  <c r="I234" i="24" s="1"/>
  <c r="X232" i="24"/>
  <c r="Y232" i="24" s="1"/>
  <c r="S232" i="24"/>
  <c r="T232" i="24" s="1"/>
  <c r="M232" i="24"/>
  <c r="N232" i="24" s="1"/>
  <c r="H232" i="24"/>
  <c r="I232" i="24" s="1"/>
  <c r="X231" i="24"/>
  <c r="Y231" i="24" s="1"/>
  <c r="S231" i="24"/>
  <c r="T231" i="24" s="1"/>
  <c r="M231" i="24"/>
  <c r="N231" i="24" s="1"/>
  <c r="H231" i="24"/>
  <c r="I231" i="24" s="1"/>
  <c r="X230" i="24"/>
  <c r="Y230" i="24" s="1"/>
  <c r="S230" i="24"/>
  <c r="T230" i="24" s="1"/>
  <c r="M230" i="24"/>
  <c r="N230" i="24" s="1"/>
  <c r="H230" i="24"/>
  <c r="I230" i="24" s="1"/>
  <c r="X228" i="24"/>
  <c r="Y228" i="24" s="1"/>
  <c r="S228" i="24"/>
  <c r="T228" i="24" s="1"/>
  <c r="M228" i="24"/>
  <c r="N228" i="24" s="1"/>
  <c r="H228" i="24"/>
  <c r="I228" i="24" s="1"/>
  <c r="X227" i="24"/>
  <c r="Y227" i="24" s="1"/>
  <c r="S227" i="24"/>
  <c r="T227" i="24" s="1"/>
  <c r="M227" i="24"/>
  <c r="N227" i="24" s="1"/>
  <c r="H227" i="24"/>
  <c r="I227" i="24" s="1"/>
  <c r="X226" i="24"/>
  <c r="Y226" i="24" s="1"/>
  <c r="S226" i="24"/>
  <c r="T226" i="24" s="1"/>
  <c r="M226" i="24"/>
  <c r="N226" i="24" s="1"/>
  <c r="H226" i="24"/>
  <c r="I226" i="24" s="1"/>
  <c r="X225" i="24"/>
  <c r="Y225" i="24" s="1"/>
  <c r="S225" i="24"/>
  <c r="T225" i="24" s="1"/>
  <c r="M225" i="24"/>
  <c r="N225" i="24" s="1"/>
  <c r="H225" i="24"/>
  <c r="I225" i="24" s="1"/>
  <c r="X224" i="24"/>
  <c r="Y224" i="24" s="1"/>
  <c r="S224" i="24"/>
  <c r="T224" i="24" s="1"/>
  <c r="M224" i="24"/>
  <c r="N224" i="24" s="1"/>
  <c r="H224" i="24"/>
  <c r="I224" i="24" s="1"/>
  <c r="X223" i="24"/>
  <c r="Y223" i="24" s="1"/>
  <c r="S223" i="24"/>
  <c r="T223" i="24" s="1"/>
  <c r="M223" i="24"/>
  <c r="N223" i="24" s="1"/>
  <c r="H223" i="24"/>
  <c r="I223" i="24" s="1"/>
  <c r="X222" i="24"/>
  <c r="Y222" i="24" s="1"/>
  <c r="S222" i="24"/>
  <c r="T222" i="24" s="1"/>
  <c r="M222" i="24"/>
  <c r="N222" i="24" s="1"/>
  <c r="H222" i="24"/>
  <c r="I222" i="24" s="1"/>
  <c r="X221" i="24"/>
  <c r="Y221" i="24" s="1"/>
  <c r="S221" i="24"/>
  <c r="T221" i="24" s="1"/>
  <c r="M221" i="24"/>
  <c r="N221" i="24" s="1"/>
  <c r="H221" i="24"/>
  <c r="I221" i="24" s="1"/>
  <c r="X220" i="24"/>
  <c r="Y220" i="24" s="1"/>
  <c r="S220" i="24"/>
  <c r="T220" i="24" s="1"/>
  <c r="M220" i="24"/>
  <c r="N220" i="24" s="1"/>
  <c r="H220" i="24"/>
  <c r="I220" i="24" s="1"/>
  <c r="X219" i="24"/>
  <c r="Y219" i="24" s="1"/>
  <c r="S219" i="24"/>
  <c r="T219" i="24" s="1"/>
  <c r="M219" i="24"/>
  <c r="N219" i="24" s="1"/>
  <c r="H219" i="24"/>
  <c r="I219" i="24" s="1"/>
  <c r="X218" i="24"/>
  <c r="Y218" i="24" s="1"/>
  <c r="S218" i="24"/>
  <c r="T218" i="24" s="1"/>
  <c r="M218" i="24"/>
  <c r="N218" i="24" s="1"/>
  <c r="H218" i="24"/>
  <c r="I218" i="24" s="1"/>
  <c r="X217" i="24"/>
  <c r="Y217" i="24" s="1"/>
  <c r="S217" i="24"/>
  <c r="T217" i="24" s="1"/>
  <c r="M217" i="24"/>
  <c r="N217" i="24" s="1"/>
  <c r="H217" i="24"/>
  <c r="I217" i="24" s="1"/>
  <c r="X216" i="24"/>
  <c r="Y216" i="24" s="1"/>
  <c r="S216" i="24"/>
  <c r="T216" i="24" s="1"/>
  <c r="M216" i="24"/>
  <c r="N216" i="24" s="1"/>
  <c r="H216" i="24"/>
  <c r="I216" i="24" s="1"/>
  <c r="X215" i="24"/>
  <c r="Y215" i="24" s="1"/>
  <c r="S215" i="24"/>
  <c r="T215" i="24" s="1"/>
  <c r="M215" i="24"/>
  <c r="N215" i="24" s="1"/>
  <c r="H215" i="24"/>
  <c r="I215" i="24" s="1"/>
  <c r="X214" i="24"/>
  <c r="Y214" i="24" s="1"/>
  <c r="S214" i="24"/>
  <c r="T214" i="24" s="1"/>
  <c r="M214" i="24"/>
  <c r="N214" i="24" s="1"/>
  <c r="H214" i="24"/>
  <c r="I214" i="24" s="1"/>
  <c r="X213" i="24"/>
  <c r="Y213" i="24" s="1"/>
  <c r="S213" i="24"/>
  <c r="T213" i="24" s="1"/>
  <c r="M213" i="24"/>
  <c r="N213" i="24" s="1"/>
  <c r="H213" i="24"/>
  <c r="I213" i="24" s="1"/>
  <c r="X212" i="24"/>
  <c r="Y212" i="24" s="1"/>
  <c r="S212" i="24"/>
  <c r="T212" i="24" s="1"/>
  <c r="M212" i="24"/>
  <c r="N212" i="24" s="1"/>
  <c r="H212" i="24"/>
  <c r="I212" i="24" s="1"/>
  <c r="X211" i="24"/>
  <c r="Y211" i="24" s="1"/>
  <c r="S211" i="24"/>
  <c r="T211" i="24" s="1"/>
  <c r="M211" i="24"/>
  <c r="N211" i="24" s="1"/>
  <c r="H211" i="24"/>
  <c r="I211" i="24" s="1"/>
  <c r="X210" i="24"/>
  <c r="Y210" i="24" s="1"/>
  <c r="S210" i="24"/>
  <c r="T210" i="24" s="1"/>
  <c r="M210" i="24"/>
  <c r="N210" i="24" s="1"/>
  <c r="H210" i="24"/>
  <c r="I210" i="24" s="1"/>
  <c r="X209" i="24"/>
  <c r="Y209" i="24" s="1"/>
  <c r="S209" i="24"/>
  <c r="T209" i="24" s="1"/>
  <c r="M209" i="24"/>
  <c r="N209" i="24" s="1"/>
  <c r="H209" i="24"/>
  <c r="I209" i="24" s="1"/>
  <c r="X208" i="24"/>
  <c r="Y208" i="24" s="1"/>
  <c r="S208" i="24"/>
  <c r="T208" i="24" s="1"/>
  <c r="M208" i="24"/>
  <c r="N208" i="24" s="1"/>
  <c r="H208" i="24"/>
  <c r="I208" i="24" s="1"/>
  <c r="X207" i="24"/>
  <c r="Y207" i="24" s="1"/>
  <c r="S207" i="24"/>
  <c r="T207" i="24" s="1"/>
  <c r="M207" i="24"/>
  <c r="N207" i="24" s="1"/>
  <c r="H207" i="24"/>
  <c r="I207" i="24" s="1"/>
  <c r="X206" i="24"/>
  <c r="Y206" i="24" s="1"/>
  <c r="S206" i="24"/>
  <c r="T206" i="24" s="1"/>
  <c r="M206" i="24"/>
  <c r="N206" i="24" s="1"/>
  <c r="H206" i="24"/>
  <c r="I206" i="24" s="1"/>
  <c r="X205" i="24"/>
  <c r="Y205" i="24" s="1"/>
  <c r="S205" i="24"/>
  <c r="T205" i="24" s="1"/>
  <c r="M205" i="24"/>
  <c r="N205" i="24" s="1"/>
  <c r="H205" i="24"/>
  <c r="I205" i="24" s="1"/>
  <c r="X204" i="24"/>
  <c r="Y204" i="24" s="1"/>
  <c r="S204" i="24"/>
  <c r="T204" i="24" s="1"/>
  <c r="M204" i="24"/>
  <c r="N204" i="24" s="1"/>
  <c r="H204" i="24"/>
  <c r="I204" i="24" s="1"/>
  <c r="X203" i="24"/>
  <c r="Y203" i="24" s="1"/>
  <c r="S203" i="24"/>
  <c r="T203" i="24" s="1"/>
  <c r="M203" i="24"/>
  <c r="N203" i="24" s="1"/>
  <c r="H203" i="24"/>
  <c r="I203" i="24" s="1"/>
  <c r="X201" i="24"/>
  <c r="Y201" i="24" s="1"/>
  <c r="S201" i="24"/>
  <c r="T201" i="24" s="1"/>
  <c r="M201" i="24"/>
  <c r="N201" i="24" s="1"/>
  <c r="H201" i="24"/>
  <c r="I201" i="24" s="1"/>
  <c r="X200" i="24"/>
  <c r="Y200" i="24" s="1"/>
  <c r="S200" i="24"/>
  <c r="T200" i="24" s="1"/>
  <c r="M200" i="24"/>
  <c r="N200" i="24" s="1"/>
  <c r="H200" i="24"/>
  <c r="I200" i="24" s="1"/>
  <c r="X198" i="24"/>
  <c r="Y198" i="24" s="1"/>
  <c r="S198" i="24"/>
  <c r="T198" i="24" s="1"/>
  <c r="M198" i="24"/>
  <c r="N198" i="24" s="1"/>
  <c r="H198" i="24"/>
  <c r="I198" i="24" s="1"/>
  <c r="X197" i="24"/>
  <c r="Y197" i="24" s="1"/>
  <c r="S197" i="24"/>
  <c r="T197" i="24" s="1"/>
  <c r="M197" i="24"/>
  <c r="N197" i="24" s="1"/>
  <c r="H197" i="24"/>
  <c r="I197" i="24" s="1"/>
  <c r="X196" i="24"/>
  <c r="Y196" i="24" s="1"/>
  <c r="S196" i="24"/>
  <c r="T196" i="24" s="1"/>
  <c r="M196" i="24"/>
  <c r="N196" i="24" s="1"/>
  <c r="H196" i="24"/>
  <c r="I196" i="24" s="1"/>
  <c r="X195" i="24"/>
  <c r="Y195" i="24" s="1"/>
  <c r="S195" i="24"/>
  <c r="T195" i="24" s="1"/>
  <c r="M195" i="24"/>
  <c r="N195" i="24" s="1"/>
  <c r="H195" i="24"/>
  <c r="I195" i="24" s="1"/>
  <c r="X194" i="24"/>
  <c r="Y194" i="24" s="1"/>
  <c r="S194" i="24"/>
  <c r="T194" i="24" s="1"/>
  <c r="M194" i="24"/>
  <c r="N194" i="24" s="1"/>
  <c r="H194" i="24"/>
  <c r="I194" i="24" s="1"/>
  <c r="X193" i="24"/>
  <c r="Y193" i="24" s="1"/>
  <c r="S193" i="24"/>
  <c r="T193" i="24" s="1"/>
  <c r="M193" i="24"/>
  <c r="N193" i="24" s="1"/>
  <c r="H193" i="24"/>
  <c r="I193" i="24" s="1"/>
  <c r="X192" i="24"/>
  <c r="Y192" i="24" s="1"/>
  <c r="S192" i="24"/>
  <c r="T192" i="24" s="1"/>
  <c r="M192" i="24"/>
  <c r="N192" i="24" s="1"/>
  <c r="H192" i="24"/>
  <c r="I192" i="24" s="1"/>
  <c r="X191" i="24"/>
  <c r="Y191" i="24" s="1"/>
  <c r="S191" i="24"/>
  <c r="T191" i="24" s="1"/>
  <c r="M191" i="24"/>
  <c r="N191" i="24" s="1"/>
  <c r="H191" i="24"/>
  <c r="I191" i="24" s="1"/>
  <c r="X190" i="24"/>
  <c r="Y190" i="24" s="1"/>
  <c r="S190" i="24"/>
  <c r="T190" i="24" s="1"/>
  <c r="M190" i="24"/>
  <c r="N190" i="24" s="1"/>
  <c r="H190" i="24"/>
  <c r="I190" i="24" s="1"/>
  <c r="X189" i="24"/>
  <c r="Y189" i="24" s="1"/>
  <c r="S189" i="24"/>
  <c r="T189" i="24" s="1"/>
  <c r="M189" i="24"/>
  <c r="N189" i="24" s="1"/>
  <c r="H189" i="24"/>
  <c r="I189" i="24" s="1"/>
  <c r="X188" i="24"/>
  <c r="Y188" i="24" s="1"/>
  <c r="S188" i="24"/>
  <c r="T188" i="24" s="1"/>
  <c r="M188" i="24"/>
  <c r="N188" i="24" s="1"/>
  <c r="H188" i="24"/>
  <c r="I188" i="24" s="1"/>
  <c r="X187" i="24"/>
  <c r="Y187" i="24" s="1"/>
  <c r="S187" i="24"/>
  <c r="T187" i="24" s="1"/>
  <c r="M187" i="24"/>
  <c r="N187" i="24" s="1"/>
  <c r="H187" i="24"/>
  <c r="I187" i="24" s="1"/>
  <c r="X186" i="24"/>
  <c r="Y186" i="24" s="1"/>
  <c r="S186" i="24"/>
  <c r="T186" i="24" s="1"/>
  <c r="M186" i="24"/>
  <c r="N186" i="24" s="1"/>
  <c r="H186" i="24"/>
  <c r="I186" i="24" s="1"/>
  <c r="X185" i="24"/>
  <c r="Y185" i="24" s="1"/>
  <c r="S185" i="24"/>
  <c r="T185" i="24" s="1"/>
  <c r="M185" i="24"/>
  <c r="N185" i="24" s="1"/>
  <c r="H185" i="24"/>
  <c r="I185" i="24" s="1"/>
  <c r="X184" i="24"/>
  <c r="Y184" i="24" s="1"/>
  <c r="S184" i="24"/>
  <c r="T184" i="24" s="1"/>
  <c r="M184" i="24"/>
  <c r="N184" i="24" s="1"/>
  <c r="H184" i="24"/>
  <c r="I184" i="24" s="1"/>
  <c r="X183" i="24"/>
  <c r="Y183" i="24" s="1"/>
  <c r="S183" i="24"/>
  <c r="T183" i="24" s="1"/>
  <c r="M183" i="24"/>
  <c r="N183" i="24" s="1"/>
  <c r="H183" i="24"/>
  <c r="I183" i="24" s="1"/>
  <c r="Y182" i="24"/>
  <c r="X182" i="24"/>
  <c r="S182" i="24"/>
  <c r="T182" i="24" s="1"/>
  <c r="N182" i="24"/>
  <c r="M182" i="24"/>
  <c r="H182" i="24"/>
  <c r="I182" i="24" s="1"/>
  <c r="X181" i="24"/>
  <c r="Y181" i="24" s="1"/>
  <c r="S181" i="24"/>
  <c r="T181" i="24" s="1"/>
  <c r="M181" i="24"/>
  <c r="N181" i="24" s="1"/>
  <c r="H181" i="24"/>
  <c r="I181" i="24" s="1"/>
  <c r="Y180" i="24"/>
  <c r="X180" i="24"/>
  <c r="S180" i="24"/>
  <c r="T180" i="24" s="1"/>
  <c r="N180" i="24"/>
  <c r="M180" i="24"/>
  <c r="H180" i="24"/>
  <c r="I180" i="24" s="1"/>
  <c r="X179" i="24"/>
  <c r="Y179" i="24" s="1"/>
  <c r="S179" i="24"/>
  <c r="T179" i="24" s="1"/>
  <c r="M179" i="24"/>
  <c r="N179" i="24" s="1"/>
  <c r="H179" i="24"/>
  <c r="I179" i="24" s="1"/>
  <c r="Y178" i="24"/>
  <c r="X178" i="24"/>
  <c r="S178" i="24"/>
  <c r="T178" i="24" s="1"/>
  <c r="N178" i="24"/>
  <c r="M178" i="24"/>
  <c r="H178" i="24"/>
  <c r="I178" i="24" s="1"/>
  <c r="X177" i="24"/>
  <c r="Y177" i="24" s="1"/>
  <c r="S177" i="24"/>
  <c r="T177" i="24" s="1"/>
  <c r="M177" i="24"/>
  <c r="N177" i="24" s="1"/>
  <c r="H177" i="24"/>
  <c r="I177" i="24" s="1"/>
  <c r="Y176" i="24"/>
  <c r="X176" i="24"/>
  <c r="S176" i="24"/>
  <c r="T176" i="24" s="1"/>
  <c r="N176" i="24"/>
  <c r="M176" i="24"/>
  <c r="H176" i="24"/>
  <c r="I176" i="24" s="1"/>
  <c r="X175" i="24"/>
  <c r="Y175" i="24" s="1"/>
  <c r="S175" i="24"/>
  <c r="T175" i="24" s="1"/>
  <c r="M175" i="24"/>
  <c r="N175" i="24" s="1"/>
  <c r="H175" i="24"/>
  <c r="I175" i="24" s="1"/>
  <c r="Y174" i="24"/>
  <c r="X174" i="24"/>
  <c r="S174" i="24"/>
  <c r="T174" i="24" s="1"/>
  <c r="N174" i="24"/>
  <c r="M174" i="24"/>
  <c r="H174" i="24"/>
  <c r="I174" i="24" s="1"/>
  <c r="X173" i="24"/>
  <c r="Y173" i="24" s="1"/>
  <c r="S173" i="24"/>
  <c r="T173" i="24" s="1"/>
  <c r="M173" i="24"/>
  <c r="N173" i="24" s="1"/>
  <c r="H173" i="24"/>
  <c r="I173" i="24" s="1"/>
  <c r="Y172" i="24"/>
  <c r="X172" i="24"/>
  <c r="S172" i="24"/>
  <c r="T172" i="24" s="1"/>
  <c r="N172" i="24"/>
  <c r="M172" i="24"/>
  <c r="H172" i="24"/>
  <c r="I172" i="24" s="1"/>
  <c r="X171" i="24"/>
  <c r="Y171" i="24" s="1"/>
  <c r="S171" i="24"/>
  <c r="T171" i="24" s="1"/>
  <c r="M171" i="24"/>
  <c r="N171" i="24" s="1"/>
  <c r="H171" i="24"/>
  <c r="I171" i="24" s="1"/>
  <c r="Y170" i="24"/>
  <c r="X170" i="24"/>
  <c r="S170" i="24"/>
  <c r="T170" i="24" s="1"/>
  <c r="N170" i="24"/>
  <c r="M170" i="24"/>
  <c r="H170" i="24"/>
  <c r="I170" i="24" s="1"/>
  <c r="X169" i="24"/>
  <c r="Y169" i="24" s="1"/>
  <c r="S169" i="24"/>
  <c r="T169" i="24" s="1"/>
  <c r="M169" i="24"/>
  <c r="N169" i="24" s="1"/>
  <c r="H169" i="24"/>
  <c r="I169" i="24" s="1"/>
  <c r="Y168" i="24"/>
  <c r="X168" i="24"/>
  <c r="S168" i="24"/>
  <c r="T168" i="24" s="1"/>
  <c r="N168" i="24"/>
  <c r="M168" i="24"/>
  <c r="H168" i="24"/>
  <c r="I168" i="24" s="1"/>
  <c r="X167" i="24"/>
  <c r="Y167" i="24" s="1"/>
  <c r="S167" i="24"/>
  <c r="T167" i="24" s="1"/>
  <c r="M167" i="24"/>
  <c r="N167" i="24" s="1"/>
  <c r="H167" i="24"/>
  <c r="I167" i="24" s="1"/>
  <c r="Y166" i="24"/>
  <c r="X166" i="24"/>
  <c r="S166" i="24"/>
  <c r="T166" i="24" s="1"/>
  <c r="N166" i="24"/>
  <c r="M166" i="24"/>
  <c r="H166" i="24"/>
  <c r="I166" i="24" s="1"/>
  <c r="X165" i="24"/>
  <c r="Y165" i="24" s="1"/>
  <c r="S165" i="24"/>
  <c r="T165" i="24" s="1"/>
  <c r="M165" i="24"/>
  <c r="N165" i="24" s="1"/>
  <c r="H165" i="24"/>
  <c r="I165" i="24" s="1"/>
  <c r="Y164" i="24"/>
  <c r="X164" i="24"/>
  <c r="S164" i="24"/>
  <c r="T164" i="24" s="1"/>
  <c r="N164" i="24"/>
  <c r="M164" i="24"/>
  <c r="H164" i="24"/>
  <c r="I164" i="24" s="1"/>
  <c r="X163" i="24"/>
  <c r="Y163" i="24" s="1"/>
  <c r="S163" i="24"/>
  <c r="T163" i="24" s="1"/>
  <c r="M163" i="24"/>
  <c r="N163" i="24" s="1"/>
  <c r="H163" i="24"/>
  <c r="I163" i="24" s="1"/>
  <c r="Y162" i="24"/>
  <c r="X162" i="24"/>
  <c r="S162" i="24"/>
  <c r="T162" i="24" s="1"/>
  <c r="N162" i="24"/>
  <c r="M162" i="24"/>
  <c r="H162" i="24"/>
  <c r="I162" i="24" s="1"/>
  <c r="X161" i="24"/>
  <c r="Y161" i="24" s="1"/>
  <c r="S161" i="24"/>
  <c r="T161" i="24" s="1"/>
  <c r="M161" i="24"/>
  <c r="N161" i="24" s="1"/>
  <c r="H161" i="24"/>
  <c r="I161" i="24" s="1"/>
  <c r="Y159" i="24"/>
  <c r="X159" i="24"/>
  <c r="S159" i="24"/>
  <c r="T159" i="24" s="1"/>
  <c r="N159" i="24"/>
  <c r="M159" i="24"/>
  <c r="H159" i="24"/>
  <c r="I159" i="24" s="1"/>
  <c r="X158" i="24"/>
  <c r="Y158" i="24" s="1"/>
  <c r="S158" i="24"/>
  <c r="T158" i="24" s="1"/>
  <c r="M158" i="24"/>
  <c r="N158" i="24" s="1"/>
  <c r="H158" i="24"/>
  <c r="I158" i="24" s="1"/>
  <c r="Y156" i="24"/>
  <c r="X156" i="24"/>
  <c r="S156" i="24"/>
  <c r="T156" i="24" s="1"/>
  <c r="N156" i="24"/>
  <c r="M156" i="24"/>
  <c r="H156" i="24"/>
  <c r="I156" i="24" s="1"/>
  <c r="X154" i="24"/>
  <c r="Y154" i="24" s="1"/>
  <c r="S154" i="24"/>
  <c r="T154" i="24" s="1"/>
  <c r="M154" i="24"/>
  <c r="N154" i="24" s="1"/>
  <c r="H154" i="24"/>
  <c r="I154" i="24" s="1"/>
  <c r="Y153" i="24"/>
  <c r="X153" i="24"/>
  <c r="S153" i="24"/>
  <c r="T153" i="24" s="1"/>
  <c r="N153" i="24"/>
  <c r="M153" i="24"/>
  <c r="H153" i="24"/>
  <c r="I153" i="24" s="1"/>
  <c r="X151" i="24"/>
  <c r="Y151" i="24" s="1"/>
  <c r="S151" i="24"/>
  <c r="T151" i="24" s="1"/>
  <c r="M151" i="24"/>
  <c r="N151" i="24" s="1"/>
  <c r="H151" i="24"/>
  <c r="I151" i="24" s="1"/>
  <c r="Y150" i="24"/>
  <c r="X150" i="24"/>
  <c r="S150" i="24"/>
  <c r="T150" i="24" s="1"/>
  <c r="N150" i="24"/>
  <c r="M150" i="24"/>
  <c r="H150" i="24"/>
  <c r="I150" i="24" s="1"/>
  <c r="X149" i="24"/>
  <c r="Y149" i="24" s="1"/>
  <c r="S149" i="24"/>
  <c r="T149" i="24" s="1"/>
  <c r="M149" i="24"/>
  <c r="N149" i="24" s="1"/>
  <c r="H149" i="24"/>
  <c r="I149" i="24" s="1"/>
  <c r="Y148" i="24"/>
  <c r="X148" i="24"/>
  <c r="S148" i="24"/>
  <c r="T148" i="24" s="1"/>
  <c r="N148" i="24"/>
  <c r="M148" i="24"/>
  <c r="H148" i="24"/>
  <c r="I148" i="24" s="1"/>
  <c r="X147" i="24"/>
  <c r="Y147" i="24" s="1"/>
  <c r="S147" i="24"/>
  <c r="T147" i="24" s="1"/>
  <c r="M147" i="24"/>
  <c r="N147" i="24" s="1"/>
  <c r="H147" i="24"/>
  <c r="I147" i="24" s="1"/>
  <c r="Y146" i="24"/>
  <c r="X146" i="24"/>
  <c r="S146" i="24"/>
  <c r="T146" i="24" s="1"/>
  <c r="N146" i="24"/>
  <c r="M146" i="24"/>
  <c r="H146" i="24"/>
  <c r="I146" i="24" s="1"/>
  <c r="X145" i="24"/>
  <c r="Y145" i="24" s="1"/>
  <c r="S145" i="24"/>
  <c r="T145" i="24" s="1"/>
  <c r="M145" i="24"/>
  <c r="N145" i="24" s="1"/>
  <c r="H145" i="24"/>
  <c r="I145" i="24" s="1"/>
  <c r="Y144" i="24"/>
  <c r="X144" i="24"/>
  <c r="S144" i="24"/>
  <c r="T144" i="24" s="1"/>
  <c r="N144" i="24"/>
  <c r="M144" i="24"/>
  <c r="H144" i="24"/>
  <c r="I144" i="24" s="1"/>
  <c r="Y143" i="24"/>
  <c r="X143" i="24"/>
  <c r="S143" i="24"/>
  <c r="T143" i="24" s="1"/>
  <c r="M143" i="24"/>
  <c r="N143" i="24" s="1"/>
  <c r="H143" i="24"/>
  <c r="I143" i="24" s="1"/>
  <c r="Y142" i="24"/>
  <c r="X142" i="24"/>
  <c r="S142" i="24"/>
  <c r="T142" i="24" s="1"/>
  <c r="N142" i="24"/>
  <c r="M142" i="24"/>
  <c r="H142" i="24"/>
  <c r="I142" i="24" s="1"/>
  <c r="Y141" i="24"/>
  <c r="X141" i="24"/>
  <c r="S141" i="24"/>
  <c r="T141" i="24" s="1"/>
  <c r="M141" i="24"/>
  <c r="N141" i="24" s="1"/>
  <c r="H141" i="24"/>
  <c r="I141" i="24" s="1"/>
  <c r="Y140" i="24"/>
  <c r="X140" i="24"/>
  <c r="S140" i="24"/>
  <c r="T140" i="24" s="1"/>
  <c r="N140" i="24"/>
  <c r="M140" i="24"/>
  <c r="H140" i="24"/>
  <c r="I140" i="24" s="1"/>
  <c r="Y139" i="24"/>
  <c r="X139" i="24"/>
  <c r="S139" i="24"/>
  <c r="T139" i="24" s="1"/>
  <c r="M139" i="24"/>
  <c r="N139" i="24" s="1"/>
  <c r="H139" i="24"/>
  <c r="I139" i="24" s="1"/>
  <c r="Y138" i="24"/>
  <c r="X138" i="24"/>
  <c r="S138" i="24"/>
  <c r="T138" i="24" s="1"/>
  <c r="N138" i="24"/>
  <c r="M138" i="24"/>
  <c r="H138" i="24"/>
  <c r="I138" i="24" s="1"/>
  <c r="X137" i="24"/>
  <c r="Y137" i="24" s="1"/>
  <c r="S137" i="24"/>
  <c r="T137" i="24" s="1"/>
  <c r="M137" i="24"/>
  <c r="N137" i="24" s="1"/>
  <c r="H137" i="24"/>
  <c r="I137" i="24" s="1"/>
  <c r="Y136" i="24"/>
  <c r="X136" i="24"/>
  <c r="S136" i="24"/>
  <c r="T136" i="24" s="1"/>
  <c r="N136" i="24"/>
  <c r="M136" i="24"/>
  <c r="H136" i="24"/>
  <c r="I136" i="24" s="1"/>
  <c r="Y135" i="24"/>
  <c r="X135" i="24"/>
  <c r="S135" i="24"/>
  <c r="T135" i="24" s="1"/>
  <c r="M135" i="24"/>
  <c r="N135" i="24" s="1"/>
  <c r="H135" i="24"/>
  <c r="I135" i="24" s="1"/>
  <c r="Y134" i="24"/>
  <c r="X134" i="24"/>
  <c r="S134" i="24"/>
  <c r="T134" i="24" s="1"/>
  <c r="N134" i="24"/>
  <c r="M134" i="24"/>
  <c r="H134" i="24"/>
  <c r="I134" i="24" s="1"/>
  <c r="Y133" i="24"/>
  <c r="X133" i="24"/>
  <c r="S133" i="24"/>
  <c r="T133" i="24" s="1"/>
  <c r="M133" i="24"/>
  <c r="N133" i="24" s="1"/>
  <c r="H133" i="24"/>
  <c r="I133" i="24" s="1"/>
  <c r="Y132" i="24"/>
  <c r="X132" i="24"/>
  <c r="S132" i="24"/>
  <c r="T132" i="24" s="1"/>
  <c r="N132" i="24"/>
  <c r="M132" i="24"/>
  <c r="H132" i="24"/>
  <c r="I132" i="24" s="1"/>
  <c r="Y131" i="24"/>
  <c r="X131" i="24"/>
  <c r="S131" i="24"/>
  <c r="T131" i="24" s="1"/>
  <c r="M131" i="24"/>
  <c r="N131" i="24" s="1"/>
  <c r="H131" i="24"/>
  <c r="I131" i="24" s="1"/>
  <c r="Y130" i="24"/>
  <c r="X130" i="24"/>
  <c r="S130" i="24"/>
  <c r="T130" i="24" s="1"/>
  <c r="N130" i="24"/>
  <c r="M130" i="24"/>
  <c r="H130" i="24"/>
  <c r="I130" i="24" s="1"/>
  <c r="X129" i="24"/>
  <c r="Y129" i="24" s="1"/>
  <c r="S129" i="24"/>
  <c r="T129" i="24" s="1"/>
  <c r="M129" i="24"/>
  <c r="N129" i="24" s="1"/>
  <c r="H129" i="24"/>
  <c r="I129" i="24" s="1"/>
  <c r="Y128" i="24"/>
  <c r="X128" i="24"/>
  <c r="S128" i="24"/>
  <c r="T128" i="24" s="1"/>
  <c r="N128" i="24"/>
  <c r="M128" i="24"/>
  <c r="H128" i="24"/>
  <c r="I128" i="24" s="1"/>
  <c r="X127" i="24"/>
  <c r="Y127" i="24" s="1"/>
  <c r="S127" i="24"/>
  <c r="T127" i="24" s="1"/>
  <c r="M127" i="24"/>
  <c r="N127" i="24" s="1"/>
  <c r="H127" i="24"/>
  <c r="I127" i="24" s="1"/>
  <c r="Y125" i="24"/>
  <c r="X125" i="24"/>
  <c r="S125" i="24"/>
  <c r="T125" i="24" s="1"/>
  <c r="N125" i="24"/>
  <c r="M125" i="24"/>
  <c r="H125" i="24"/>
  <c r="I125" i="24" s="1"/>
  <c r="Y124" i="24"/>
  <c r="X124" i="24"/>
  <c r="S124" i="24"/>
  <c r="T124" i="24" s="1"/>
  <c r="M124" i="24"/>
  <c r="N124" i="24" s="1"/>
  <c r="H124" i="24"/>
  <c r="I124" i="24" s="1"/>
  <c r="Y123" i="24"/>
  <c r="X123" i="24"/>
  <c r="S123" i="24"/>
  <c r="T123" i="24" s="1"/>
  <c r="N123" i="24"/>
  <c r="M123" i="24"/>
  <c r="H123" i="24"/>
  <c r="I123" i="24" s="1"/>
  <c r="Y122" i="24"/>
  <c r="X122" i="24"/>
  <c r="S122" i="24"/>
  <c r="T122" i="24" s="1"/>
  <c r="M122" i="24"/>
  <c r="N122" i="24" s="1"/>
  <c r="H122" i="24"/>
  <c r="I122" i="24" s="1"/>
  <c r="Y121" i="24"/>
  <c r="X121" i="24"/>
  <c r="S121" i="24"/>
  <c r="T121" i="24" s="1"/>
  <c r="N121" i="24"/>
  <c r="M121" i="24"/>
  <c r="H121" i="24"/>
  <c r="I121" i="24" s="1"/>
  <c r="X120" i="24"/>
  <c r="Y120" i="24" s="1"/>
  <c r="S120" i="24"/>
  <c r="T120" i="24" s="1"/>
  <c r="M120" i="24"/>
  <c r="N120" i="24" s="1"/>
  <c r="H120" i="24"/>
  <c r="I120" i="24" s="1"/>
  <c r="Y119" i="24"/>
  <c r="X119" i="24"/>
  <c r="S119" i="24"/>
  <c r="T119" i="24" s="1"/>
  <c r="N119" i="24"/>
  <c r="M119" i="24"/>
  <c r="H119" i="24"/>
  <c r="I119" i="24" s="1"/>
  <c r="X118" i="24"/>
  <c r="Y118" i="24" s="1"/>
  <c r="S118" i="24"/>
  <c r="T118" i="24" s="1"/>
  <c r="M118" i="24"/>
  <c r="N118" i="24" s="1"/>
  <c r="H118" i="24"/>
  <c r="I118" i="24" s="1"/>
  <c r="Y117" i="24"/>
  <c r="X117" i="24"/>
  <c r="S117" i="24"/>
  <c r="T117" i="24" s="1"/>
  <c r="N117" i="24"/>
  <c r="M117" i="24"/>
  <c r="H117" i="24"/>
  <c r="I117" i="24" s="1"/>
  <c r="Y116" i="24"/>
  <c r="X116" i="24"/>
  <c r="S116" i="24"/>
  <c r="T116" i="24" s="1"/>
  <c r="M116" i="24"/>
  <c r="N116" i="24" s="1"/>
  <c r="H116" i="24"/>
  <c r="I116" i="24" s="1"/>
  <c r="Y115" i="24"/>
  <c r="X115" i="24"/>
  <c r="S115" i="24"/>
  <c r="T115" i="24" s="1"/>
  <c r="N115" i="24"/>
  <c r="M115" i="24"/>
  <c r="H115" i="24"/>
  <c r="I115" i="24" s="1"/>
  <c r="Y114" i="24"/>
  <c r="X114" i="24"/>
  <c r="S114" i="24"/>
  <c r="T114" i="24" s="1"/>
  <c r="M114" i="24"/>
  <c r="N114" i="24" s="1"/>
  <c r="H114" i="24"/>
  <c r="I114" i="24" s="1"/>
  <c r="Y113" i="24"/>
  <c r="X113" i="24"/>
  <c r="S113" i="24"/>
  <c r="T113" i="24" s="1"/>
  <c r="N113" i="24"/>
  <c r="M113" i="24"/>
  <c r="H113" i="24"/>
  <c r="I113" i="24" s="1"/>
  <c r="X112" i="24"/>
  <c r="Y112" i="24" s="1"/>
  <c r="S112" i="24"/>
  <c r="T112" i="24" s="1"/>
  <c r="M112" i="24"/>
  <c r="N112" i="24" s="1"/>
  <c r="H112" i="24"/>
  <c r="I112" i="24" s="1"/>
  <c r="Y111" i="24"/>
  <c r="X111" i="24"/>
  <c r="S111" i="24"/>
  <c r="T111" i="24" s="1"/>
  <c r="N111" i="24"/>
  <c r="M111" i="24"/>
  <c r="H111" i="24"/>
  <c r="I111" i="24" s="1"/>
  <c r="BA108" i="24"/>
  <c r="AZ108" i="24"/>
  <c r="AY108" i="24"/>
  <c r="AX108" i="24"/>
  <c r="AW108" i="24"/>
  <c r="AV108" i="24"/>
  <c r="AU108" i="24"/>
  <c r="AT108" i="24"/>
  <c r="AS108" i="24"/>
  <c r="AR108" i="24"/>
  <c r="AQ108" i="24"/>
  <c r="AP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A108" i="24"/>
  <c r="W108" i="24"/>
  <c r="V108" i="24"/>
  <c r="R108" i="24"/>
  <c r="Q108" i="24"/>
  <c r="L108" i="24"/>
  <c r="K108" i="24"/>
  <c r="G108" i="24"/>
  <c r="F108" i="24"/>
  <c r="X107" i="24"/>
  <c r="Y107" i="24" s="1"/>
  <c r="S107" i="24"/>
  <c r="T107" i="24" s="1"/>
  <c r="M107" i="24"/>
  <c r="N107" i="24" s="1"/>
  <c r="H107" i="24"/>
  <c r="I107" i="24" s="1"/>
  <c r="X106" i="24"/>
  <c r="Y106" i="24" s="1"/>
  <c r="S106" i="24"/>
  <c r="T106" i="24" s="1"/>
  <c r="M106" i="24"/>
  <c r="N106" i="24" s="1"/>
  <c r="H106" i="24"/>
  <c r="I106" i="24" s="1"/>
  <c r="X105" i="24"/>
  <c r="Y105" i="24" s="1"/>
  <c r="S105" i="24"/>
  <c r="T105" i="24" s="1"/>
  <c r="M105" i="24"/>
  <c r="N105" i="24" s="1"/>
  <c r="H105" i="24"/>
  <c r="I105" i="24" s="1"/>
  <c r="X104" i="24"/>
  <c r="Y104" i="24" s="1"/>
  <c r="S104" i="24"/>
  <c r="T104" i="24" s="1"/>
  <c r="M104" i="24"/>
  <c r="N104" i="24" s="1"/>
  <c r="H104" i="24"/>
  <c r="I104" i="24" s="1"/>
  <c r="X103" i="24"/>
  <c r="Y103" i="24" s="1"/>
  <c r="S103" i="24"/>
  <c r="T103" i="24" s="1"/>
  <c r="M103" i="24"/>
  <c r="N103" i="24" s="1"/>
  <c r="H103" i="24"/>
  <c r="I103" i="24" s="1"/>
  <c r="X102" i="24"/>
  <c r="Y102" i="24" s="1"/>
  <c r="S102" i="24"/>
  <c r="T102" i="24" s="1"/>
  <c r="M102" i="24"/>
  <c r="N102" i="24" s="1"/>
  <c r="H102" i="24"/>
  <c r="I102" i="24" s="1"/>
  <c r="X101" i="24"/>
  <c r="Y101" i="24" s="1"/>
  <c r="S101" i="24"/>
  <c r="T101" i="24" s="1"/>
  <c r="M101" i="24"/>
  <c r="N101" i="24" s="1"/>
  <c r="H101" i="24"/>
  <c r="I101" i="24" s="1"/>
  <c r="X100" i="24"/>
  <c r="Y100" i="24" s="1"/>
  <c r="S100" i="24"/>
  <c r="T100" i="24" s="1"/>
  <c r="M100" i="24"/>
  <c r="N100" i="24" s="1"/>
  <c r="H100" i="24"/>
  <c r="I100" i="24" s="1"/>
  <c r="X99" i="24"/>
  <c r="Y99" i="24" s="1"/>
  <c r="S99" i="24"/>
  <c r="T99" i="24" s="1"/>
  <c r="M99" i="24"/>
  <c r="N99" i="24" s="1"/>
  <c r="H99" i="24"/>
  <c r="I99" i="24" s="1"/>
  <c r="X98" i="24"/>
  <c r="Y98" i="24" s="1"/>
  <c r="T98" i="24"/>
  <c r="S98" i="24"/>
  <c r="M98" i="24"/>
  <c r="N98" i="24" s="1"/>
  <c r="H98" i="24"/>
  <c r="I98" i="24" s="1"/>
  <c r="X97" i="24"/>
  <c r="Y97" i="24" s="1"/>
  <c r="S97" i="24"/>
  <c r="T97" i="24" s="1"/>
  <c r="M97" i="24"/>
  <c r="N97" i="24" s="1"/>
  <c r="H97" i="24"/>
  <c r="I97" i="24" s="1"/>
  <c r="X96" i="24"/>
  <c r="Y96" i="24" s="1"/>
  <c r="S96" i="24"/>
  <c r="T96" i="24" s="1"/>
  <c r="M96" i="24"/>
  <c r="N96" i="24" s="1"/>
  <c r="H96" i="24"/>
  <c r="I96" i="24" s="1"/>
  <c r="X95" i="24"/>
  <c r="Y95" i="24" s="1"/>
  <c r="S95" i="24"/>
  <c r="T95" i="24" s="1"/>
  <c r="M95" i="24"/>
  <c r="N95" i="24" s="1"/>
  <c r="H95" i="24"/>
  <c r="I95" i="24" s="1"/>
  <c r="X94" i="24"/>
  <c r="Y94" i="24" s="1"/>
  <c r="T94" i="24"/>
  <c r="S94" i="24"/>
  <c r="M94" i="24"/>
  <c r="N94" i="24" s="1"/>
  <c r="H94" i="24"/>
  <c r="I94" i="24" s="1"/>
  <c r="X93" i="24"/>
  <c r="Y93" i="24" s="1"/>
  <c r="S93" i="24"/>
  <c r="T93" i="24" s="1"/>
  <c r="M93" i="24"/>
  <c r="N93" i="24" s="1"/>
  <c r="H93" i="24"/>
  <c r="I93" i="24" s="1"/>
  <c r="X92" i="24"/>
  <c r="Y92" i="24" s="1"/>
  <c r="T92" i="24"/>
  <c r="S92" i="24"/>
  <c r="M92" i="24"/>
  <c r="N92" i="24" s="1"/>
  <c r="H92" i="24"/>
  <c r="I92" i="24" s="1"/>
  <c r="X91" i="24"/>
  <c r="Y91" i="24" s="1"/>
  <c r="S91" i="24"/>
  <c r="T91" i="24" s="1"/>
  <c r="M91" i="24"/>
  <c r="N91" i="24" s="1"/>
  <c r="H91" i="24"/>
  <c r="I91" i="24" s="1"/>
  <c r="X90" i="24"/>
  <c r="Y90" i="24" s="1"/>
  <c r="T90" i="24"/>
  <c r="S90" i="24"/>
  <c r="M90" i="24"/>
  <c r="N90" i="24" s="1"/>
  <c r="H90" i="24"/>
  <c r="I90" i="24" s="1"/>
  <c r="X89" i="24"/>
  <c r="Y89" i="24" s="1"/>
  <c r="S89" i="24"/>
  <c r="T89" i="24" s="1"/>
  <c r="M89" i="24"/>
  <c r="N89" i="24" s="1"/>
  <c r="H89" i="24"/>
  <c r="I89" i="24" s="1"/>
  <c r="X88" i="24"/>
  <c r="Y88" i="24" s="1"/>
  <c r="S88" i="24"/>
  <c r="T88" i="24" s="1"/>
  <c r="M88" i="24"/>
  <c r="N88" i="24" s="1"/>
  <c r="H88" i="24"/>
  <c r="I88" i="24" s="1"/>
  <c r="X87" i="24"/>
  <c r="Y87" i="24" s="1"/>
  <c r="S87" i="24"/>
  <c r="T87" i="24" s="1"/>
  <c r="M87" i="24"/>
  <c r="N87" i="24" s="1"/>
  <c r="H87" i="24"/>
  <c r="I87" i="24" s="1"/>
  <c r="X86" i="24"/>
  <c r="Y86" i="24" s="1"/>
  <c r="T86" i="24"/>
  <c r="S86" i="24"/>
  <c r="M86" i="24"/>
  <c r="N86" i="24" s="1"/>
  <c r="H86" i="24"/>
  <c r="I86" i="24" s="1"/>
  <c r="X85" i="24"/>
  <c r="Y85" i="24" s="1"/>
  <c r="S85" i="24"/>
  <c r="T85" i="24" s="1"/>
  <c r="M85" i="24"/>
  <c r="N85" i="24" s="1"/>
  <c r="H85" i="24"/>
  <c r="I85" i="24" s="1"/>
  <c r="X84" i="24"/>
  <c r="Y84" i="24" s="1"/>
  <c r="T84" i="24"/>
  <c r="S84" i="24"/>
  <c r="M84" i="24"/>
  <c r="N84" i="24" s="1"/>
  <c r="H84" i="24"/>
  <c r="I84" i="24" s="1"/>
  <c r="X83" i="24"/>
  <c r="Y83" i="24" s="1"/>
  <c r="S83" i="24"/>
  <c r="T83" i="24" s="1"/>
  <c r="M83" i="24"/>
  <c r="N83" i="24" s="1"/>
  <c r="H83" i="24"/>
  <c r="I83" i="24" s="1"/>
  <c r="X82" i="24"/>
  <c r="Y82" i="24" s="1"/>
  <c r="T82" i="24"/>
  <c r="S82" i="24"/>
  <c r="M82" i="24"/>
  <c r="N82" i="24" s="1"/>
  <c r="H82" i="24"/>
  <c r="I82" i="24" s="1"/>
  <c r="X81" i="24"/>
  <c r="Y81" i="24" s="1"/>
  <c r="S81" i="24"/>
  <c r="T81" i="24" s="1"/>
  <c r="M81" i="24"/>
  <c r="N81" i="24" s="1"/>
  <c r="H81" i="24"/>
  <c r="I81" i="24" s="1"/>
  <c r="X80" i="24"/>
  <c r="Y80" i="24" s="1"/>
  <c r="S80" i="24"/>
  <c r="T80" i="24" s="1"/>
  <c r="M80" i="24"/>
  <c r="N80" i="24" s="1"/>
  <c r="H80" i="24"/>
  <c r="I80" i="24" s="1"/>
  <c r="X79" i="24"/>
  <c r="Y79" i="24" s="1"/>
  <c r="S79" i="24"/>
  <c r="T79" i="24" s="1"/>
  <c r="M79" i="24"/>
  <c r="N79" i="24" s="1"/>
  <c r="H79" i="24"/>
  <c r="I79" i="24" s="1"/>
  <c r="X78" i="24"/>
  <c r="Y78" i="24" s="1"/>
  <c r="S78" i="24"/>
  <c r="T78" i="24" s="1"/>
  <c r="M78" i="24"/>
  <c r="N78" i="24" s="1"/>
  <c r="H78" i="24"/>
  <c r="I78" i="24" s="1"/>
  <c r="X77" i="24"/>
  <c r="Y77" i="24" s="1"/>
  <c r="S77" i="24"/>
  <c r="T77" i="24" s="1"/>
  <c r="M77" i="24"/>
  <c r="N77" i="24" s="1"/>
  <c r="H77" i="24"/>
  <c r="I77" i="24" s="1"/>
  <c r="X76" i="24"/>
  <c r="Y76" i="24" s="1"/>
  <c r="T76" i="24"/>
  <c r="S76" i="24"/>
  <c r="M76" i="24"/>
  <c r="N76" i="24" s="1"/>
  <c r="H76" i="24"/>
  <c r="I76" i="24" s="1"/>
  <c r="X75" i="24"/>
  <c r="Y75" i="24" s="1"/>
  <c r="S75" i="24"/>
  <c r="T75" i="24" s="1"/>
  <c r="M75" i="24"/>
  <c r="N75" i="24" s="1"/>
  <c r="H75" i="24"/>
  <c r="I75" i="24" s="1"/>
  <c r="X74" i="24"/>
  <c r="Y74" i="24" s="1"/>
  <c r="T74" i="24"/>
  <c r="S74" i="24"/>
  <c r="M74" i="24"/>
  <c r="N74" i="24" s="1"/>
  <c r="H74" i="24"/>
  <c r="I74" i="24" s="1"/>
  <c r="X72" i="24"/>
  <c r="Y72" i="24" s="1"/>
  <c r="S72" i="24"/>
  <c r="T72" i="24" s="1"/>
  <c r="M72" i="24"/>
  <c r="N72" i="24" s="1"/>
  <c r="H72" i="24"/>
  <c r="I72" i="24" s="1"/>
  <c r="X71" i="24"/>
  <c r="Y71" i="24" s="1"/>
  <c r="S71" i="24"/>
  <c r="T71" i="24" s="1"/>
  <c r="M71" i="24"/>
  <c r="N71" i="24" s="1"/>
  <c r="H71" i="24"/>
  <c r="I71" i="24" s="1"/>
  <c r="X70" i="24"/>
  <c r="Y70" i="24" s="1"/>
  <c r="S70" i="24"/>
  <c r="T70" i="24" s="1"/>
  <c r="M70" i="24"/>
  <c r="N70" i="24" s="1"/>
  <c r="H70" i="24"/>
  <c r="I70" i="24" s="1"/>
  <c r="X69" i="24"/>
  <c r="Y69" i="24" s="1"/>
  <c r="S69" i="24"/>
  <c r="T69" i="24" s="1"/>
  <c r="M69" i="24"/>
  <c r="N69" i="24" s="1"/>
  <c r="H69" i="24"/>
  <c r="I69" i="24" s="1"/>
  <c r="BA68" i="24"/>
  <c r="AZ68" i="24"/>
  <c r="AY68" i="24"/>
  <c r="AX68" i="24"/>
  <c r="AW68" i="24"/>
  <c r="AV68" i="24"/>
  <c r="AU68" i="24"/>
  <c r="AT68" i="24"/>
  <c r="AS68" i="24"/>
  <c r="AR68" i="24"/>
  <c r="AQ68" i="24"/>
  <c r="AP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A68" i="24"/>
  <c r="W68" i="24"/>
  <c r="Y68" i="24" s="1"/>
  <c r="V68" i="24"/>
  <c r="R68" i="24"/>
  <c r="T68" i="24" s="1"/>
  <c r="Q68" i="24"/>
  <c r="L68" i="24"/>
  <c r="N68" i="24" s="1"/>
  <c r="K68" i="24"/>
  <c r="G68" i="24"/>
  <c r="I68" i="24" s="1"/>
  <c r="F68" i="24"/>
  <c r="X67" i="24"/>
  <c r="Y67" i="24" s="1"/>
  <c r="H67" i="24"/>
  <c r="I67" i="24" s="1"/>
  <c r="X66" i="24"/>
  <c r="Y66" i="24" s="1"/>
  <c r="I66" i="24"/>
  <c r="H66" i="24"/>
  <c r="X65" i="24"/>
  <c r="Y65" i="24" s="1"/>
  <c r="H65" i="24"/>
  <c r="I65" i="24" s="1"/>
  <c r="X64" i="24"/>
  <c r="Y64" i="24" s="1"/>
  <c r="I64" i="24"/>
  <c r="H64" i="24"/>
  <c r="X63" i="24"/>
  <c r="Y63" i="24" s="1"/>
  <c r="H63" i="24"/>
  <c r="I63" i="24" s="1"/>
  <c r="X62" i="24"/>
  <c r="Y62" i="24" s="1"/>
  <c r="I62" i="24"/>
  <c r="H62" i="24"/>
  <c r="X61" i="24"/>
  <c r="Y61" i="24" s="1"/>
  <c r="I61" i="24"/>
  <c r="H61" i="24"/>
  <c r="X60" i="24"/>
  <c r="Y60" i="24" s="1"/>
  <c r="I60" i="24"/>
  <c r="H60" i="24"/>
  <c r="X59" i="24"/>
  <c r="Y59" i="24" s="1"/>
  <c r="H59" i="24"/>
  <c r="I59" i="24" s="1"/>
  <c r="X58" i="24"/>
  <c r="Y58" i="24" s="1"/>
  <c r="I58" i="24"/>
  <c r="H58" i="24"/>
  <c r="X57" i="24"/>
  <c r="Y57" i="24" s="1"/>
  <c r="I57" i="24"/>
  <c r="H57" i="24"/>
  <c r="X56" i="24"/>
  <c r="Y56" i="24" s="1"/>
  <c r="H56" i="24"/>
  <c r="I56" i="24" s="1"/>
  <c r="X55" i="24"/>
  <c r="Y55" i="24" s="1"/>
  <c r="H55" i="24"/>
  <c r="I55" i="24" s="1"/>
  <c r="X54" i="24"/>
  <c r="Y54" i="24" s="1"/>
  <c r="I54" i="24"/>
  <c r="H54" i="24"/>
  <c r="X53" i="24"/>
  <c r="Y53" i="24" s="1"/>
  <c r="H53" i="24"/>
  <c r="I53" i="24" s="1"/>
  <c r="X52" i="24"/>
  <c r="Y52" i="24" s="1"/>
  <c r="H52" i="24"/>
  <c r="I52" i="24" s="1"/>
  <c r="X51" i="24"/>
  <c r="Y51" i="24" s="1"/>
  <c r="H51" i="24"/>
  <c r="I51" i="24" s="1"/>
  <c r="X50" i="24"/>
  <c r="Y50" i="24" s="1"/>
  <c r="I50" i="24"/>
  <c r="H50" i="24"/>
  <c r="X49" i="24"/>
  <c r="Y49" i="24" s="1"/>
  <c r="H49" i="24"/>
  <c r="I49" i="24" s="1"/>
  <c r="X48" i="24"/>
  <c r="Y48" i="24" s="1"/>
  <c r="I48" i="24"/>
  <c r="H48" i="24"/>
  <c r="X47" i="24"/>
  <c r="Y47" i="24" s="1"/>
  <c r="H47" i="24"/>
  <c r="I47" i="24" s="1"/>
  <c r="X46" i="24"/>
  <c r="Y46" i="24" s="1"/>
  <c r="I46" i="24"/>
  <c r="H46" i="24"/>
  <c r="X45" i="24"/>
  <c r="Y45" i="24" s="1"/>
  <c r="I45" i="24"/>
  <c r="H45" i="24"/>
  <c r="X44" i="24"/>
  <c r="Y44" i="24" s="1"/>
  <c r="I44" i="24"/>
  <c r="H44" i="24"/>
  <c r="X43" i="24"/>
  <c r="Y43" i="24" s="1"/>
  <c r="H43" i="24"/>
  <c r="I43" i="24" s="1"/>
  <c r="X42" i="24"/>
  <c r="Y42" i="24" s="1"/>
  <c r="I42" i="24"/>
  <c r="H42" i="24"/>
  <c r="X41" i="24"/>
  <c r="Y41" i="24" s="1"/>
  <c r="I41" i="24"/>
  <c r="H41" i="24"/>
  <c r="X40" i="24"/>
  <c r="Y40" i="24" s="1"/>
  <c r="H40" i="24"/>
  <c r="I40" i="24" s="1"/>
  <c r="X39" i="24"/>
  <c r="Y39" i="24" s="1"/>
  <c r="H39" i="24"/>
  <c r="I39" i="24" s="1"/>
  <c r="X38" i="24"/>
  <c r="Y38" i="24" s="1"/>
  <c r="I38" i="24"/>
  <c r="H38" i="24"/>
  <c r="X37" i="24"/>
  <c r="Y37" i="24" s="1"/>
  <c r="H37" i="24"/>
  <c r="I37" i="24" s="1"/>
  <c r="X36" i="24"/>
  <c r="Y36" i="24" s="1"/>
  <c r="H36" i="24"/>
  <c r="I36" i="24" s="1"/>
  <c r="X35" i="24"/>
  <c r="Y35" i="24" s="1"/>
  <c r="H35" i="24"/>
  <c r="I35" i="24" s="1"/>
  <c r="X34" i="24"/>
  <c r="Y34" i="24" s="1"/>
  <c r="I34" i="24"/>
  <c r="H34" i="24"/>
  <c r="X33" i="24"/>
  <c r="Y33" i="24" s="1"/>
  <c r="H33" i="24"/>
  <c r="I33" i="24" s="1"/>
  <c r="X32" i="24"/>
  <c r="Y32" i="24" s="1"/>
  <c r="I32" i="24"/>
  <c r="H32" i="24"/>
  <c r="X31" i="24"/>
  <c r="Y31" i="24" s="1"/>
  <c r="H31" i="24"/>
  <c r="I31" i="24" s="1"/>
  <c r="X30" i="24"/>
  <c r="Y30" i="24" s="1"/>
  <c r="I30" i="24"/>
  <c r="H30" i="24"/>
  <c r="X29" i="24"/>
  <c r="Y29" i="24" s="1"/>
  <c r="I29" i="24"/>
  <c r="H29" i="24"/>
  <c r="X27" i="24"/>
  <c r="Y27" i="24" s="1"/>
  <c r="I27" i="24"/>
  <c r="H27" i="24"/>
  <c r="X26" i="24"/>
  <c r="Y26" i="24" s="1"/>
  <c r="H26" i="24"/>
  <c r="I26" i="24" s="1"/>
  <c r="X25" i="24"/>
  <c r="Y25" i="24" s="1"/>
  <c r="I25" i="24"/>
  <c r="H25" i="24"/>
  <c r="X23" i="24"/>
  <c r="Y23" i="24" s="1"/>
  <c r="I23" i="24"/>
  <c r="H23" i="24"/>
  <c r="X22" i="24"/>
  <c r="Y22" i="24" s="1"/>
  <c r="H22" i="24"/>
  <c r="I22" i="24" s="1"/>
  <c r="X21" i="24"/>
  <c r="Y21" i="24" s="1"/>
  <c r="H21" i="24"/>
  <c r="I21" i="24" s="1"/>
  <c r="X20" i="24"/>
  <c r="Y20" i="24" s="1"/>
  <c r="I20" i="24"/>
  <c r="H20" i="24"/>
  <c r="X19" i="24"/>
  <c r="Y19" i="24" s="1"/>
  <c r="H19" i="24"/>
  <c r="I19" i="24" s="1"/>
  <c r="X18" i="24"/>
  <c r="Y18" i="24" s="1"/>
  <c r="H18" i="24"/>
  <c r="I18" i="24" s="1"/>
  <c r="X17" i="24"/>
  <c r="Y17" i="24" s="1"/>
  <c r="H17" i="24"/>
  <c r="I17" i="24" s="1"/>
  <c r="X16" i="24"/>
  <c r="Y16" i="24" s="1"/>
  <c r="I16" i="24"/>
  <c r="H16" i="24"/>
  <c r="X14" i="24"/>
  <c r="Y14" i="24" s="1"/>
  <c r="H14" i="24"/>
  <c r="I14" i="24" s="1"/>
  <c r="X13" i="24"/>
  <c r="Y13" i="24" s="1"/>
  <c r="I13" i="24"/>
  <c r="H13" i="24"/>
  <c r="X12" i="24"/>
  <c r="Y12" i="24" s="1"/>
  <c r="H12" i="24"/>
  <c r="I12" i="24" s="1"/>
  <c r="X11" i="24"/>
  <c r="Y11" i="24" s="1"/>
  <c r="I11" i="24"/>
  <c r="H11" i="24"/>
  <c r="BA6" i="24"/>
  <c r="AZ6" i="24"/>
  <c r="AY6" i="24"/>
  <c r="AX6" i="24"/>
  <c r="AW6" i="24"/>
  <c r="AV6" i="24"/>
  <c r="AU6" i="24"/>
  <c r="AT6" i="24"/>
  <c r="AS6" i="24"/>
  <c r="AR6" i="24"/>
  <c r="AQ6" i="24"/>
  <c r="AP6" i="24"/>
  <c r="AN6" i="24"/>
  <c r="AM6" i="24"/>
  <c r="AL6" i="24"/>
  <c r="AK6" i="24"/>
  <c r="AJ6" i="24"/>
  <c r="AI6" i="24"/>
  <c r="AH6" i="24"/>
  <c r="AG6" i="24"/>
  <c r="AF6" i="24"/>
  <c r="AE6" i="24"/>
  <c r="AD6" i="24"/>
  <c r="AC6" i="24"/>
  <c r="AA6" i="24"/>
  <c r="V6" i="24"/>
  <c r="W6" i="24" s="1"/>
  <c r="Q6" i="24"/>
  <c r="R6" i="24" s="1"/>
  <c r="K6" i="24"/>
  <c r="L6" i="24" s="1"/>
  <c r="F6" i="24"/>
  <c r="G6" i="24" s="1"/>
  <c r="C6" i="24"/>
  <c r="B6" i="24"/>
  <c r="C5" i="24"/>
  <c r="B5" i="24"/>
  <c r="B4" i="24"/>
  <c r="G3" i="24"/>
  <c r="L3" i="24" s="1"/>
  <c r="R3" i="24" s="1"/>
  <c r="W3" i="24" s="1"/>
  <c r="C3" i="24"/>
  <c r="AA2" i="24"/>
  <c r="G2" i="24"/>
  <c r="L2" i="24" s="1"/>
  <c r="R2" i="24" s="1"/>
  <c r="W2" i="24" s="1"/>
  <c r="C2" i="24"/>
  <c r="AP2" i="24" s="1"/>
  <c r="AA4" i="24" l="1"/>
  <c r="AP4" i="24" s="1"/>
  <c r="M68" i="24"/>
  <c r="X412" i="24"/>
  <c r="AY527" i="24"/>
  <c r="AY528" i="24" s="1"/>
  <c r="AY529" i="24" s="1"/>
  <c r="AY665" i="24" s="1"/>
  <c r="AY677" i="24" s="1"/>
  <c r="AY681" i="24" s="1"/>
  <c r="W631" i="24"/>
  <c r="W632" i="24" s="1"/>
  <c r="H676" i="24"/>
  <c r="I676" i="24" s="1"/>
  <c r="S676" i="24"/>
  <c r="T676" i="24" s="1"/>
  <c r="AH352" i="24"/>
  <c r="AH527" i="24"/>
  <c r="G613" i="24"/>
  <c r="G631" i="24" s="1"/>
  <c r="H612" i="24"/>
  <c r="I612" i="24" s="1"/>
  <c r="M489" i="24"/>
  <c r="L632" i="24"/>
  <c r="AE632" i="24"/>
  <c r="AI632" i="24"/>
  <c r="AM632" i="24"/>
  <c r="AR632" i="24"/>
  <c r="AV632" i="24"/>
  <c r="AZ632" i="24"/>
  <c r="M412" i="24"/>
  <c r="M488" i="24"/>
  <c r="N488" i="24" s="1"/>
  <c r="Y597" i="24"/>
  <c r="M613" i="24"/>
  <c r="N613" i="24" s="1"/>
  <c r="H664" i="24"/>
  <c r="I664" i="24" s="1"/>
  <c r="S664" i="24"/>
  <c r="T664" i="24" s="1"/>
  <c r="X613" i="24"/>
  <c r="Y613" i="24" s="1"/>
  <c r="M676" i="24"/>
  <c r="N676" i="24" s="1"/>
  <c r="X676" i="24"/>
  <c r="Y676" i="24" s="1"/>
  <c r="S108" i="24"/>
  <c r="H68" i="24"/>
  <c r="H108" i="24"/>
  <c r="I108" i="24" s="1"/>
  <c r="X68" i="24"/>
  <c r="S68" i="24"/>
  <c r="M108" i="24"/>
  <c r="N108" i="24" s="1"/>
  <c r="X108" i="24"/>
  <c r="Y108" i="24" s="1"/>
  <c r="G489" i="24"/>
  <c r="AQ527" i="24"/>
  <c r="H613" i="24"/>
  <c r="I613" i="24" s="1"/>
  <c r="F631" i="24"/>
  <c r="H631" i="24" s="1"/>
  <c r="S612" i="24"/>
  <c r="T612" i="24" s="1"/>
  <c r="AK528" i="24"/>
  <c r="AK529" i="24" s="1"/>
  <c r="AK665" i="24" s="1"/>
  <c r="AK677" i="24" s="1"/>
  <c r="AK681" i="24" s="1"/>
  <c r="AA527" i="24"/>
  <c r="AA528" i="24" s="1"/>
  <c r="AA529" i="24" s="1"/>
  <c r="AA352" i="24"/>
  <c r="AF352" i="24"/>
  <c r="AF527" i="24"/>
  <c r="AF528" i="24" s="1"/>
  <c r="AF529" i="24" s="1"/>
  <c r="AF665" i="24" s="1"/>
  <c r="AF677" i="24" s="1"/>
  <c r="AF681" i="24" s="1"/>
  <c r="AJ527" i="24"/>
  <c r="AJ528" i="24" s="1"/>
  <c r="AJ529" i="24" s="1"/>
  <c r="AJ352" i="24"/>
  <c r="AN352" i="24"/>
  <c r="AN527" i="24"/>
  <c r="AN528" i="24" s="1"/>
  <c r="AN529" i="24" s="1"/>
  <c r="AS527" i="24"/>
  <c r="AS528" i="24" s="1"/>
  <c r="AS529" i="24" s="1"/>
  <c r="AS352" i="24"/>
  <c r="AW352" i="24"/>
  <c r="AW527" i="24"/>
  <c r="AW528" i="24" s="1"/>
  <c r="AW529" i="24" s="1"/>
  <c r="AW665" i="24" s="1"/>
  <c r="AW677" i="24" s="1"/>
  <c r="AW681" i="24" s="1"/>
  <c r="BA527" i="24"/>
  <c r="BA528" i="24" s="1"/>
  <c r="BA529" i="24" s="1"/>
  <c r="BA352" i="24"/>
  <c r="N412" i="24"/>
  <c r="AH528" i="24"/>
  <c r="AH529" i="24" s="1"/>
  <c r="AH665" i="24" s="1"/>
  <c r="AH677" i="24" s="1"/>
  <c r="AH681" i="24" s="1"/>
  <c r="AQ528" i="24"/>
  <c r="AQ529" i="24" s="1"/>
  <c r="F527" i="24"/>
  <c r="F528" i="24" s="1"/>
  <c r="F352" i="24"/>
  <c r="L527" i="24"/>
  <c r="L528" i="24" s="1"/>
  <c r="L352" i="24"/>
  <c r="Y412" i="24"/>
  <c r="R489" i="24"/>
  <c r="S489" i="24" s="1"/>
  <c r="T108" i="24"/>
  <c r="Q527" i="24"/>
  <c r="Q352" i="24"/>
  <c r="S352" i="24" s="1"/>
  <c r="AD352" i="24"/>
  <c r="AD527" i="24"/>
  <c r="AD528" i="24" s="1"/>
  <c r="AD529" i="24" s="1"/>
  <c r="AL352" i="24"/>
  <c r="AL527" i="24"/>
  <c r="AL528" i="24" s="1"/>
  <c r="AL529" i="24" s="1"/>
  <c r="AU352" i="24"/>
  <c r="AU527" i="24"/>
  <c r="AU528" i="24" s="1"/>
  <c r="AU529" i="24" s="1"/>
  <c r="T352" i="24"/>
  <c r="H489" i="24"/>
  <c r="S613" i="24"/>
  <c r="T613" i="24" s="1"/>
  <c r="Q631" i="24"/>
  <c r="S631" i="24" s="1"/>
  <c r="T631" i="24" s="1"/>
  <c r="R632" i="24"/>
  <c r="K527" i="24"/>
  <c r="M527" i="24" s="1"/>
  <c r="K352" i="24"/>
  <c r="T351" i="24"/>
  <c r="T412" i="24"/>
  <c r="S488" i="24"/>
  <c r="T488" i="24" s="1"/>
  <c r="G632" i="24"/>
  <c r="G527" i="24"/>
  <c r="I351" i="24"/>
  <c r="M351" i="24"/>
  <c r="N351" i="24" s="1"/>
  <c r="V352" i="24"/>
  <c r="X352" i="24" s="1"/>
  <c r="Y352" i="24" s="1"/>
  <c r="V527" i="24"/>
  <c r="G352" i="24"/>
  <c r="I412" i="24"/>
  <c r="H488" i="24"/>
  <c r="I488" i="24" s="1"/>
  <c r="N489" i="24"/>
  <c r="N597" i="24"/>
  <c r="W527" i="24"/>
  <c r="AC527" i="24"/>
  <c r="AC528" i="24" s="1"/>
  <c r="AC529" i="24" s="1"/>
  <c r="AC665" i="24" s="1"/>
  <c r="AC677" i="24" s="1"/>
  <c r="AC681" i="24" s="1"/>
  <c r="AG527" i="24"/>
  <c r="AG528" i="24" s="1"/>
  <c r="AG529" i="24" s="1"/>
  <c r="AG665" i="24" s="1"/>
  <c r="AG677" i="24" s="1"/>
  <c r="AG681" i="24" s="1"/>
  <c r="AK527" i="24"/>
  <c r="AP527" i="24"/>
  <c r="AP528" i="24" s="1"/>
  <c r="AP529" i="24" s="1"/>
  <c r="AP665" i="24" s="1"/>
  <c r="AP677" i="24" s="1"/>
  <c r="AP681" i="24" s="1"/>
  <c r="AT527" i="24"/>
  <c r="AT528" i="24" s="1"/>
  <c r="AT529" i="24" s="1"/>
  <c r="AT665" i="24" s="1"/>
  <c r="AT677" i="24" s="1"/>
  <c r="AT681" i="24" s="1"/>
  <c r="AX527" i="24"/>
  <c r="AX528" i="24" s="1"/>
  <c r="AX529" i="24" s="1"/>
  <c r="AX665" i="24" s="1"/>
  <c r="AX677" i="24" s="1"/>
  <c r="AX681" i="24" s="1"/>
  <c r="X489" i="24"/>
  <c r="Y489" i="24" s="1"/>
  <c r="T597" i="24"/>
  <c r="Y351" i="24"/>
  <c r="AE527" i="24"/>
  <c r="AE528" i="24" s="1"/>
  <c r="AE529" i="24" s="1"/>
  <c r="AE665" i="24" s="1"/>
  <c r="AE677" i="24" s="1"/>
  <c r="AE681" i="24" s="1"/>
  <c r="AI527" i="24"/>
  <c r="AI528" i="24" s="1"/>
  <c r="AI529" i="24" s="1"/>
  <c r="AI665" i="24" s="1"/>
  <c r="AI677" i="24" s="1"/>
  <c r="AI681" i="24" s="1"/>
  <c r="AM527" i="24"/>
  <c r="AM528" i="24" s="1"/>
  <c r="AM529" i="24" s="1"/>
  <c r="AM665" i="24" s="1"/>
  <c r="AM677" i="24" s="1"/>
  <c r="AM681" i="24" s="1"/>
  <c r="AR527" i="24"/>
  <c r="AR528" i="24" s="1"/>
  <c r="AR529" i="24" s="1"/>
  <c r="AR665" i="24" s="1"/>
  <c r="AR677" i="24" s="1"/>
  <c r="AR681" i="24" s="1"/>
  <c r="AV527" i="24"/>
  <c r="AV528" i="24" s="1"/>
  <c r="AV529" i="24" s="1"/>
  <c r="AV665" i="24" s="1"/>
  <c r="AV677" i="24" s="1"/>
  <c r="AV681" i="24" s="1"/>
  <c r="AZ527" i="24"/>
  <c r="AZ528" i="24" s="1"/>
  <c r="AZ529" i="24" s="1"/>
  <c r="AZ665" i="24" s="1"/>
  <c r="AZ677" i="24" s="1"/>
  <c r="AZ681" i="24" s="1"/>
  <c r="X488" i="24"/>
  <c r="Y488" i="24" s="1"/>
  <c r="I597" i="24"/>
  <c r="S672" i="24"/>
  <c r="T672" i="24" s="1"/>
  <c r="F632" i="24"/>
  <c r="H632" i="24" s="1"/>
  <c r="Q632" i="24"/>
  <c r="S632" i="24" s="1"/>
  <c r="AA632" i="24"/>
  <c r="AF632" i="24"/>
  <c r="AJ632" i="24"/>
  <c r="AN632" i="24"/>
  <c r="AS632" i="24"/>
  <c r="AW632" i="24"/>
  <c r="BA632" i="24"/>
  <c r="X612" i="24"/>
  <c r="Y612" i="24" s="1"/>
  <c r="N631" i="24"/>
  <c r="K631" i="24"/>
  <c r="M631" i="24" s="1"/>
  <c r="V631" i="24"/>
  <c r="X631" i="24" s="1"/>
  <c r="Y631" i="24" s="1"/>
  <c r="H568" i="24"/>
  <c r="I568" i="24" s="1"/>
  <c r="M568" i="24"/>
  <c r="N568" i="24" s="1"/>
  <c r="S568" i="24"/>
  <c r="T568" i="24" s="1"/>
  <c r="X568" i="24"/>
  <c r="Y568" i="24" s="1"/>
  <c r="AD632" i="24"/>
  <c r="AH632" i="24"/>
  <c r="AL632" i="24"/>
  <c r="AQ632" i="24"/>
  <c r="AU632" i="24"/>
  <c r="AY632" i="24"/>
  <c r="I631" i="24"/>
  <c r="H672" i="24"/>
  <c r="I672" i="24" s="1"/>
  <c r="M672" i="24"/>
  <c r="N672" i="24" s="1"/>
  <c r="X672" i="24"/>
  <c r="Y672" i="24" s="1"/>
  <c r="P20" i="16"/>
  <c r="O20" i="16"/>
  <c r="O4" i="16"/>
  <c r="P4" i="16" s="1"/>
  <c r="P22" i="16"/>
  <c r="O22" i="16"/>
  <c r="O4" i="1"/>
  <c r="P4" i="1" s="1"/>
  <c r="P32" i="3"/>
  <c r="P17" i="3"/>
  <c r="P29" i="3" s="1"/>
  <c r="O32" i="3"/>
  <c r="O17" i="3"/>
  <c r="O29" i="3" s="1"/>
  <c r="P34" i="1"/>
  <c r="P36" i="1" s="1"/>
  <c r="O34" i="1"/>
  <c r="P32" i="1"/>
  <c r="O32" i="1"/>
  <c r="K632" i="24" l="1"/>
  <c r="M632" i="24" s="1"/>
  <c r="N632" i="24" s="1"/>
  <c r="R527" i="24"/>
  <c r="R528" i="24" s="1"/>
  <c r="AU665" i="24"/>
  <c r="AU677" i="24" s="1"/>
  <c r="AU681" i="24" s="1"/>
  <c r="AD665" i="24"/>
  <c r="AD677" i="24" s="1"/>
  <c r="AD681" i="24" s="1"/>
  <c r="AN665" i="24"/>
  <c r="AN677" i="24" s="1"/>
  <c r="AN681" i="24" s="1"/>
  <c r="S527" i="24"/>
  <c r="AL665" i="24"/>
  <c r="AL677" i="24" s="1"/>
  <c r="AL681" i="24" s="1"/>
  <c r="AQ665" i="24"/>
  <c r="AQ677" i="24" s="1"/>
  <c r="AQ681" i="24" s="1"/>
  <c r="BA665" i="24"/>
  <c r="BA677" i="24" s="1"/>
  <c r="BA681" i="24" s="1"/>
  <c r="AS665" i="24"/>
  <c r="AS677" i="24" s="1"/>
  <c r="AS681" i="24" s="1"/>
  <c r="AJ665" i="24"/>
  <c r="AJ677" i="24" s="1"/>
  <c r="AJ681" i="24" s="1"/>
  <c r="O36" i="1"/>
  <c r="O17" i="1"/>
  <c r="O29" i="1" s="1"/>
  <c r="P17" i="1"/>
  <c r="P37" i="1" s="1"/>
  <c r="O10" i="16"/>
  <c r="L529" i="24"/>
  <c r="H352" i="24"/>
  <c r="I352" i="24" s="1"/>
  <c r="AA665" i="24"/>
  <c r="AA677" i="24" s="1"/>
  <c r="AA681" i="24" s="1"/>
  <c r="X527" i="24"/>
  <c r="H527" i="24"/>
  <c r="I527" i="24" s="1"/>
  <c r="V528" i="24"/>
  <c r="Y527" i="24"/>
  <c r="W528" i="24"/>
  <c r="I632" i="24"/>
  <c r="T632" i="24"/>
  <c r="R529" i="24"/>
  <c r="F529" i="24"/>
  <c r="Q528" i="24"/>
  <c r="V632" i="24"/>
  <c r="X632" i="24" s="1"/>
  <c r="Y632" i="24" s="1"/>
  <c r="T527" i="24"/>
  <c r="T489" i="24"/>
  <c r="N527" i="24"/>
  <c r="G528" i="24"/>
  <c r="H528" i="24" s="1"/>
  <c r="I489" i="24"/>
  <c r="K528" i="24"/>
  <c r="P10" i="16"/>
  <c r="P36" i="3"/>
  <c r="P37" i="3" s="1"/>
  <c r="O36" i="3"/>
  <c r="O37" i="3" s="1"/>
  <c r="O37" i="1" l="1"/>
  <c r="P18" i="16"/>
  <c r="P23" i="16" s="1"/>
  <c r="P38" i="1" s="1"/>
  <c r="P40" i="1" s="1"/>
  <c r="P41" i="1" s="1"/>
  <c r="P44" i="1" s="1"/>
  <c r="O18" i="16"/>
  <c r="O23" i="16" s="1"/>
  <c r="O38" i="1" s="1"/>
  <c r="W529" i="24"/>
  <c r="Y528" i="24"/>
  <c r="S528" i="24"/>
  <c r="T528" i="24" s="1"/>
  <c r="Q529" i="24"/>
  <c r="R665" i="24"/>
  <c r="M528" i="24"/>
  <c r="N528" i="24" s="1"/>
  <c r="K529" i="24"/>
  <c r="G529" i="24"/>
  <c r="I528" i="24"/>
  <c r="F665" i="24"/>
  <c r="H529" i="24"/>
  <c r="X528" i="24"/>
  <c r="V529" i="24"/>
  <c r="L665" i="24"/>
  <c r="O40" i="1" l="1"/>
  <c r="O41" i="1" s="1"/>
  <c r="O44" i="1" s="1"/>
  <c r="F677" i="24"/>
  <c r="K665" i="24"/>
  <c r="M529" i="24"/>
  <c r="N529" i="24" s="1"/>
  <c r="V665" i="24"/>
  <c r="X529" i="24"/>
  <c r="L677" i="24"/>
  <c r="Q665" i="24"/>
  <c r="S529" i="24"/>
  <c r="T529" i="24" s="1"/>
  <c r="R677" i="24"/>
  <c r="G665" i="24"/>
  <c r="I529" i="24"/>
  <c r="Y529" i="24"/>
  <c r="W665" i="24"/>
  <c r="L681" i="24" l="1"/>
  <c r="W677" i="24"/>
  <c r="M665" i="24"/>
  <c r="N665" i="24" s="1"/>
  <c r="K677" i="24"/>
  <c r="F681" i="24"/>
  <c r="H677" i="24"/>
  <c r="R681" i="24"/>
  <c r="G677" i="24"/>
  <c r="S665" i="24"/>
  <c r="T665" i="24" s="1"/>
  <c r="Q677" i="24"/>
  <c r="X665" i="24"/>
  <c r="Y665" i="24" s="1"/>
  <c r="V677" i="24"/>
  <c r="H665" i="24"/>
  <c r="I665" i="24" s="1"/>
  <c r="V681" i="24" l="1"/>
  <c r="X677" i="24"/>
  <c r="Y677" i="24" s="1"/>
  <c r="I677" i="24"/>
  <c r="G681" i="24"/>
  <c r="W681" i="24"/>
  <c r="Q681" i="24"/>
  <c r="S677" i="24"/>
  <c r="T677" i="24" s="1"/>
  <c r="K681" i="24"/>
  <c r="M677" i="24"/>
  <c r="N677" i="24" s="1"/>
  <c r="E22" i="16" l="1"/>
  <c r="F22" i="16"/>
  <c r="G22" i="16"/>
  <c r="H22" i="16"/>
  <c r="I22" i="16"/>
  <c r="J22" i="16"/>
  <c r="K22" i="16"/>
  <c r="L22" i="16"/>
  <c r="M22" i="16"/>
  <c r="N22" i="16"/>
  <c r="K10" i="16"/>
  <c r="K13" i="16"/>
  <c r="K18" i="16" s="1"/>
  <c r="A20" i="16"/>
  <c r="A21" i="16" s="1"/>
  <c r="A22" i="16" s="1"/>
  <c r="A23" i="16" s="1"/>
  <c r="A26" i="16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L10" i="16" l="1"/>
  <c r="L13" i="16" s="1"/>
  <c r="L18" i="16" s="1"/>
  <c r="L23" i="16" s="1"/>
  <c r="L38" i="1" s="1"/>
  <c r="G10" i="16"/>
  <c r="G13" i="16" s="1"/>
  <c r="G18" i="16" s="1"/>
  <c r="G23" i="16" s="1"/>
  <c r="G38" i="1" s="1"/>
  <c r="N10" i="16"/>
  <c r="N13" i="16" s="1"/>
  <c r="N18" i="16" s="1"/>
  <c r="N23" i="16" s="1"/>
  <c r="N38" i="1" s="1"/>
  <c r="J10" i="16"/>
  <c r="J13" i="16" s="1"/>
  <c r="J18" i="16" s="1"/>
  <c r="J23" i="16" s="1"/>
  <c r="J38" i="1" s="1"/>
  <c r="F10" i="16"/>
  <c r="F13" i="16" s="1"/>
  <c r="F18" i="16" s="1"/>
  <c r="F23" i="16" s="1"/>
  <c r="F38" i="1" s="1"/>
  <c r="H10" i="16"/>
  <c r="H13" i="16" s="1"/>
  <c r="H18" i="16" s="1"/>
  <c r="H23" i="16" s="1"/>
  <c r="H38" i="1" s="1"/>
  <c r="M10" i="16"/>
  <c r="M13" i="16" s="1"/>
  <c r="M18" i="16" s="1"/>
  <c r="M23" i="16" s="1"/>
  <c r="M38" i="1" s="1"/>
  <c r="I10" i="16"/>
  <c r="I13" i="16" s="1"/>
  <c r="I18" i="16" s="1"/>
  <c r="I23" i="16" s="1"/>
  <c r="I38" i="1" s="1"/>
  <c r="E10" i="16"/>
  <c r="E13" i="16" s="1"/>
  <c r="E18" i="16" s="1"/>
  <c r="E23" i="16" s="1"/>
  <c r="E38" i="1" s="1"/>
  <c r="K23" i="16"/>
  <c r="K38" i="1" s="1"/>
  <c r="H34" i="1" l="1"/>
  <c r="I34" i="1"/>
  <c r="J34" i="1"/>
  <c r="K34" i="1"/>
  <c r="L34" i="1"/>
  <c r="M34" i="1"/>
  <c r="N34" i="1"/>
  <c r="G34" i="1"/>
  <c r="E34" i="1"/>
  <c r="F34" i="1"/>
  <c r="G112" i="13" l="1"/>
  <c r="M109" i="13"/>
  <c r="L109" i="13"/>
  <c r="H109" i="13"/>
  <c r="I109" i="13" s="1"/>
  <c r="H108" i="13"/>
  <c r="I108" i="13" s="1"/>
  <c r="H107" i="13"/>
  <c r="I107" i="13" s="1"/>
  <c r="H106" i="13"/>
  <c r="I106" i="13" s="1"/>
  <c r="H105" i="13"/>
  <c r="I105" i="13" s="1"/>
  <c r="M104" i="13"/>
  <c r="L104" i="13"/>
  <c r="H104" i="13"/>
  <c r="I104" i="13" s="1"/>
  <c r="M103" i="13"/>
  <c r="L103" i="13"/>
  <c r="J103" i="13"/>
  <c r="H103" i="13"/>
  <c r="I103" i="13" s="1"/>
  <c r="H102" i="13"/>
  <c r="I102" i="13" s="1"/>
  <c r="H101" i="13"/>
  <c r="I101" i="13" s="1"/>
  <c r="H100" i="13"/>
  <c r="I100" i="13" s="1"/>
  <c r="H99" i="13"/>
  <c r="I99" i="13" s="1"/>
  <c r="H98" i="13"/>
  <c r="I98" i="13" s="1"/>
  <c r="H97" i="13"/>
  <c r="I97" i="13" s="1"/>
  <c r="H96" i="13"/>
  <c r="I96" i="13" s="1"/>
  <c r="H95" i="13"/>
  <c r="I95" i="13" s="1"/>
  <c r="M94" i="13"/>
  <c r="L94" i="13"/>
  <c r="J94" i="13"/>
  <c r="H94" i="13"/>
  <c r="I94" i="13" s="1"/>
  <c r="H93" i="13"/>
  <c r="I93" i="13" s="1"/>
  <c r="H92" i="13"/>
  <c r="I92" i="13" s="1"/>
  <c r="I91" i="13"/>
  <c r="H91" i="13"/>
  <c r="M90" i="13"/>
  <c r="L90" i="13"/>
  <c r="J90" i="13"/>
  <c r="H90" i="13"/>
  <c r="I90" i="13" s="1"/>
  <c r="H89" i="13"/>
  <c r="I89" i="13" s="1"/>
  <c r="H88" i="13"/>
  <c r="I88" i="13" s="1"/>
  <c r="M87" i="13"/>
  <c r="L87" i="13"/>
  <c r="J87" i="13"/>
  <c r="H87" i="13"/>
  <c r="I87" i="13" s="1"/>
  <c r="H86" i="13"/>
  <c r="I86" i="13" s="1"/>
  <c r="H85" i="13"/>
  <c r="I85" i="13" s="1"/>
  <c r="M84" i="13"/>
  <c r="L84" i="13"/>
  <c r="J84" i="13"/>
  <c r="M83" i="13"/>
  <c r="L83" i="13"/>
  <c r="J83" i="13"/>
  <c r="H83" i="13"/>
  <c r="I83" i="13" s="1"/>
  <c r="H82" i="13"/>
  <c r="I82" i="13" s="1"/>
  <c r="H81" i="13"/>
  <c r="I81" i="13" s="1"/>
  <c r="I80" i="13"/>
  <c r="H80" i="13"/>
  <c r="M79" i="13"/>
  <c r="L79" i="13"/>
  <c r="J79" i="13"/>
  <c r="H79" i="13"/>
  <c r="I79" i="13" s="1"/>
  <c r="H78" i="13"/>
  <c r="I78" i="13" s="1"/>
  <c r="H77" i="13"/>
  <c r="I77" i="13" s="1"/>
  <c r="M76" i="13"/>
  <c r="L76" i="13"/>
  <c r="J76" i="13"/>
  <c r="H76" i="13"/>
  <c r="I76" i="13" s="1"/>
  <c r="H75" i="13"/>
  <c r="I75" i="13" s="1"/>
  <c r="H74" i="13"/>
  <c r="I74" i="13" s="1"/>
  <c r="H73" i="13"/>
  <c r="I73" i="13" s="1"/>
  <c r="H72" i="13"/>
  <c r="I72" i="13" s="1"/>
  <c r="H71" i="13"/>
  <c r="I71" i="13" s="1"/>
  <c r="H70" i="13"/>
  <c r="I70" i="13" s="1"/>
  <c r="H69" i="13"/>
  <c r="I69" i="13" s="1"/>
  <c r="H68" i="13"/>
  <c r="I68" i="13" s="1"/>
  <c r="H67" i="13"/>
  <c r="I67" i="13" s="1"/>
  <c r="H66" i="13"/>
  <c r="I66" i="13" s="1"/>
  <c r="H65" i="13"/>
  <c r="I65" i="13" s="1"/>
  <c r="M64" i="13"/>
  <c r="L64" i="13"/>
  <c r="J64" i="13"/>
  <c r="H64" i="13"/>
  <c r="I64" i="13" s="1"/>
  <c r="M63" i="13"/>
  <c r="L63" i="13"/>
  <c r="J63" i="13"/>
  <c r="H63" i="13"/>
  <c r="I63" i="13" s="1"/>
  <c r="M62" i="13"/>
  <c r="L62" i="13"/>
  <c r="J62" i="13"/>
  <c r="H62" i="13"/>
  <c r="I62" i="13" s="1"/>
  <c r="M61" i="13"/>
  <c r="L61" i="13"/>
  <c r="J61" i="13"/>
  <c r="H61" i="13"/>
  <c r="I61" i="13" s="1"/>
  <c r="H60" i="13"/>
  <c r="I60" i="13" s="1"/>
  <c r="H59" i="13"/>
  <c r="I59" i="13" s="1"/>
  <c r="H58" i="13"/>
  <c r="I58" i="13" s="1"/>
  <c r="H57" i="13"/>
  <c r="I57" i="13" s="1"/>
  <c r="H56" i="13"/>
  <c r="I56" i="13" s="1"/>
  <c r="H55" i="13"/>
  <c r="I55" i="13" s="1"/>
  <c r="H54" i="13"/>
  <c r="I54" i="13" s="1"/>
  <c r="H53" i="13"/>
  <c r="I53" i="13" s="1"/>
  <c r="H52" i="13"/>
  <c r="I52" i="13" s="1"/>
  <c r="M51" i="13"/>
  <c r="L51" i="13"/>
  <c r="J51" i="13"/>
  <c r="H51" i="13"/>
  <c r="I51" i="13" s="1"/>
  <c r="H50" i="13"/>
  <c r="I50" i="13" s="1"/>
  <c r="H49" i="13"/>
  <c r="I49" i="13" s="1"/>
  <c r="H48" i="13"/>
  <c r="I48" i="13" s="1"/>
  <c r="H47" i="13"/>
  <c r="I47" i="13" s="1"/>
  <c r="M46" i="13"/>
  <c r="L46" i="13"/>
  <c r="J46" i="13"/>
  <c r="H46" i="13"/>
  <c r="I46" i="13" s="1"/>
  <c r="H45" i="13"/>
  <c r="I45" i="13" s="1"/>
  <c r="I44" i="13"/>
  <c r="H44" i="13"/>
  <c r="H43" i="13"/>
  <c r="I43" i="13" s="1"/>
  <c r="H42" i="13"/>
  <c r="I42" i="13" s="1"/>
  <c r="H41" i="13"/>
  <c r="I41" i="13" s="1"/>
  <c r="H40" i="13"/>
  <c r="I40" i="13" s="1"/>
  <c r="H39" i="13"/>
  <c r="I39" i="13" s="1"/>
  <c r="H38" i="13"/>
  <c r="I38" i="13" s="1"/>
  <c r="H37" i="13"/>
  <c r="I37" i="13" s="1"/>
  <c r="H36" i="13"/>
  <c r="I36" i="13" s="1"/>
  <c r="H35" i="13"/>
  <c r="I35" i="13" s="1"/>
  <c r="H34" i="13"/>
  <c r="I34" i="13" s="1"/>
  <c r="H33" i="13"/>
  <c r="I33" i="13" s="1"/>
  <c r="H32" i="13"/>
  <c r="I32" i="13" s="1"/>
  <c r="H31" i="13"/>
  <c r="I31" i="13" s="1"/>
  <c r="H30" i="13"/>
  <c r="I30" i="13" s="1"/>
  <c r="H29" i="13"/>
  <c r="I29" i="13" s="1"/>
  <c r="I28" i="13"/>
  <c r="H28" i="13"/>
  <c r="H27" i="13"/>
  <c r="I27" i="13" s="1"/>
  <c r="H26" i="13"/>
  <c r="I26" i="13" s="1"/>
  <c r="H25" i="13"/>
  <c r="I25" i="13" s="1"/>
  <c r="H24" i="13"/>
  <c r="I24" i="13" s="1"/>
  <c r="H23" i="13"/>
  <c r="I23" i="13" s="1"/>
  <c r="H22" i="13"/>
  <c r="I22" i="13" s="1"/>
  <c r="H21" i="13"/>
  <c r="I21" i="13" s="1"/>
  <c r="H20" i="13"/>
  <c r="I20" i="13" s="1"/>
  <c r="H19" i="13"/>
  <c r="I19" i="13" s="1"/>
  <c r="H18" i="13"/>
  <c r="I18" i="13" s="1"/>
  <c r="H17" i="13"/>
  <c r="I17" i="13" s="1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H5" i="13"/>
  <c r="I5" i="13" s="1"/>
  <c r="H4" i="13"/>
  <c r="I4" i="13" s="1"/>
  <c r="H3" i="13"/>
  <c r="I3" i="13" s="1"/>
  <c r="H2" i="13"/>
  <c r="I2" i="13" s="1"/>
  <c r="K109" i="13" l="1"/>
  <c r="N109" i="13" s="1"/>
  <c r="Q109" i="13" s="1"/>
  <c r="L112" i="13"/>
  <c r="M112" i="13"/>
  <c r="K79" i="13"/>
  <c r="N79" i="13" s="1"/>
  <c r="K76" i="13"/>
  <c r="N76" i="13" s="1"/>
  <c r="K46" i="13"/>
  <c r="K51" i="13"/>
  <c r="N51" i="13" s="1"/>
  <c r="K84" i="13"/>
  <c r="N84" i="13" s="1"/>
  <c r="K87" i="13"/>
  <c r="N87" i="13" s="1"/>
  <c r="K90" i="13"/>
  <c r="N90" i="13" s="1"/>
  <c r="K61" i="13"/>
  <c r="N61" i="13" s="1"/>
  <c r="K63" i="13"/>
  <c r="N63" i="13" s="1"/>
  <c r="K83" i="13"/>
  <c r="N83" i="13" s="1"/>
  <c r="K103" i="13"/>
  <c r="N103" i="13" s="1"/>
  <c r="K104" i="13"/>
  <c r="N104" i="13" s="1"/>
  <c r="K62" i="13"/>
  <c r="N62" i="13" s="1"/>
  <c r="K64" i="13"/>
  <c r="N64" i="13" s="1"/>
  <c r="K94" i="13"/>
  <c r="N94" i="13" s="1"/>
  <c r="S109" i="13" l="1"/>
  <c r="Q94" i="13"/>
  <c r="S94" i="13"/>
  <c r="S103" i="13"/>
  <c r="Q103" i="13"/>
  <c r="S90" i="13"/>
  <c r="Q90" i="13"/>
  <c r="K112" i="13"/>
  <c r="N46" i="13"/>
  <c r="Q64" i="13"/>
  <c r="S64" i="13"/>
  <c r="Q83" i="13"/>
  <c r="S83" i="13"/>
  <c r="S87" i="13"/>
  <c r="Q87" i="13"/>
  <c r="S76" i="13"/>
  <c r="Q76" i="13"/>
  <c r="Q62" i="13"/>
  <c r="S62" i="13"/>
  <c r="Q63" i="13"/>
  <c r="S63" i="13"/>
  <c r="S84" i="13"/>
  <c r="Q84" i="13"/>
  <c r="S79" i="13"/>
  <c r="Q79" i="13"/>
  <c r="S104" i="13"/>
  <c r="Q104" i="13"/>
  <c r="Q61" i="13"/>
  <c r="S61" i="13"/>
  <c r="S51" i="13"/>
  <c r="Q51" i="13"/>
  <c r="S46" i="13" l="1"/>
  <c r="S112" i="13" s="1"/>
  <c r="N112" i="13"/>
  <c r="Q46" i="13"/>
  <c r="Q112" i="13" s="1"/>
  <c r="F36" i="3" l="1"/>
  <c r="G36" i="3"/>
  <c r="H36" i="3"/>
  <c r="I36" i="3"/>
  <c r="I37" i="3" s="1"/>
  <c r="J36" i="3"/>
  <c r="K36" i="3"/>
  <c r="L36" i="3"/>
  <c r="M36" i="3"/>
  <c r="N36" i="3"/>
  <c r="F32" i="3"/>
  <c r="G32" i="3"/>
  <c r="H32" i="3"/>
  <c r="I32" i="3"/>
  <c r="J32" i="3"/>
  <c r="K32" i="3"/>
  <c r="L32" i="3"/>
  <c r="M32" i="3"/>
  <c r="N32" i="3"/>
  <c r="J17" i="3"/>
  <c r="J29" i="3" s="1"/>
  <c r="F17" i="3"/>
  <c r="F29" i="3" s="1"/>
  <c r="G17" i="3"/>
  <c r="G29" i="3" s="1"/>
  <c r="H17" i="3"/>
  <c r="H29" i="3" s="1"/>
  <c r="I17" i="3"/>
  <c r="I29" i="3" s="1"/>
  <c r="K17" i="3"/>
  <c r="K29" i="3" s="1"/>
  <c r="L17" i="3"/>
  <c r="L29" i="3" s="1"/>
  <c r="M17" i="3"/>
  <c r="M29" i="3" s="1"/>
  <c r="N17" i="3"/>
  <c r="N29" i="3" s="1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L37" i="3" l="1"/>
  <c r="H37" i="3"/>
  <c r="J37" i="3"/>
  <c r="G37" i="3"/>
  <c r="M37" i="3"/>
  <c r="K37" i="3"/>
  <c r="N37" i="3"/>
  <c r="F37" i="3"/>
  <c r="N36" i="1"/>
  <c r="M36" i="1"/>
  <c r="L36" i="1"/>
  <c r="K36" i="1"/>
  <c r="J36" i="1"/>
  <c r="I36" i="1"/>
  <c r="H36" i="1"/>
  <c r="G36" i="1"/>
  <c r="F36" i="1"/>
  <c r="E36" i="1"/>
  <c r="E37" i="1" s="1"/>
  <c r="N32" i="1"/>
  <c r="M32" i="1"/>
  <c r="L32" i="1"/>
  <c r="K32" i="1"/>
  <c r="J32" i="1"/>
  <c r="I32" i="1"/>
  <c r="H32" i="1"/>
  <c r="G32" i="1"/>
  <c r="F32" i="1"/>
  <c r="E32" i="1"/>
  <c r="N17" i="1"/>
  <c r="N29" i="1" s="1"/>
  <c r="M17" i="1"/>
  <c r="M29" i="1" s="1"/>
  <c r="L17" i="1"/>
  <c r="L29" i="1" s="1"/>
  <c r="K17" i="1"/>
  <c r="K29" i="1" s="1"/>
  <c r="J17" i="1"/>
  <c r="J29" i="1" s="1"/>
  <c r="I17" i="1"/>
  <c r="I29" i="1" s="1"/>
  <c r="H17" i="1"/>
  <c r="H29" i="1" s="1"/>
  <c r="G17" i="1"/>
  <c r="G29" i="1" s="1"/>
  <c r="F17" i="1"/>
  <c r="F29" i="1" s="1"/>
  <c r="E17" i="1"/>
  <c r="E29" i="1" s="1"/>
  <c r="E40" i="1" l="1"/>
  <c r="E41" i="1" s="1"/>
  <c r="E44" i="1" s="1"/>
  <c r="I37" i="1"/>
  <c r="I40" i="1" s="1"/>
  <c r="I41" i="1" s="1"/>
  <c r="I44" i="1" s="1"/>
  <c r="M37" i="1"/>
  <c r="M40" i="1" s="1"/>
  <c r="M41" i="1" s="1"/>
  <c r="M44" i="1" s="1"/>
  <c r="H37" i="1"/>
  <c r="H40" i="1" s="1"/>
  <c r="H41" i="1" s="1"/>
  <c r="H44" i="1" s="1"/>
  <c r="L37" i="1"/>
  <c r="L40" i="1" s="1"/>
  <c r="L41" i="1" s="1"/>
  <c r="L44" i="1" s="1"/>
  <c r="F37" i="1"/>
  <c r="F40" i="1" s="1"/>
  <c r="F41" i="1" s="1"/>
  <c r="F44" i="1" s="1"/>
  <c r="J37" i="1"/>
  <c r="J40" i="1" s="1"/>
  <c r="J41" i="1" s="1"/>
  <c r="J44" i="1" s="1"/>
  <c r="N37" i="1"/>
  <c r="N40" i="1" s="1"/>
  <c r="N41" i="1" s="1"/>
  <c r="N44" i="1" s="1"/>
  <c r="G37" i="1"/>
  <c r="G40" i="1" s="1"/>
  <c r="G41" i="1" s="1"/>
  <c r="G44" i="1" s="1"/>
  <c r="K37" i="1"/>
  <c r="K40" i="1" s="1"/>
  <c r="K41" i="1" s="1"/>
  <c r="K44" i="1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6" i="3"/>
  <c r="A7" i="3" s="1"/>
  <c r="A8" i="3" s="1"/>
  <c r="A9" i="3" s="1"/>
  <c r="A10" i="3" s="1"/>
  <c r="A11" i="3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" i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<sst xmlns="http://schemas.openxmlformats.org/spreadsheetml/2006/main" count="2578" uniqueCount="1885">
  <si>
    <t>Ln. No.</t>
  </si>
  <si>
    <t>Cost Component</t>
  </si>
  <si>
    <t>Utility Plant at Original Cost</t>
  </si>
  <si>
    <t>Less Accumulated Depreciation</t>
  </si>
  <si>
    <t>Less Accumulated Deferred Income Tax</t>
  </si>
  <si>
    <t>Net Utility Plant</t>
  </si>
  <si>
    <t>*SO2 Emission Allowance Inventory</t>
  </si>
  <si>
    <t>*CSAPR S02 Emission Allowance Inventory</t>
  </si>
  <si>
    <t>*CSAPR NOx Emission Allowance Inventory</t>
  </si>
  <si>
    <t>*CSAPR AN Emission Allowance Inventory</t>
  </si>
  <si>
    <t>Cash Working Capital Allowance</t>
  </si>
  <si>
    <t>Total Rate Base</t>
  </si>
  <si>
    <t>Weighted Average Cost of Capital</t>
  </si>
  <si>
    <t xml:space="preserve"> </t>
  </si>
  <si>
    <t>Monthly Weighted Avg. Cost of Capital</t>
  </si>
  <si>
    <t>Monthly Return on Rate Base</t>
  </si>
  <si>
    <t>Monthly Disposal (5010000)</t>
  </si>
  <si>
    <t>Monthly Urea Expense (5020002)</t>
  </si>
  <si>
    <t>Monthly Trona Expense (5020003)</t>
  </si>
  <si>
    <t>Monthly Lime Stone Expense (5020004)</t>
  </si>
  <si>
    <t>Monthly Polymer Expense (5020005)</t>
  </si>
  <si>
    <t>Monthly Lime Hydrate Expense (5020007)</t>
  </si>
  <si>
    <t>Monthly WV Air Emission Fee</t>
  </si>
  <si>
    <t>SO2 Consumption **</t>
  </si>
  <si>
    <t>CSAPR S02 Consumption  **</t>
  </si>
  <si>
    <t>CSAPR Seasonal Nox Consumption</t>
  </si>
  <si>
    <t>CSAPR Annual Nox consumption</t>
  </si>
  <si>
    <t>Total Monthly Operation Costs</t>
  </si>
  <si>
    <t>Monthly FGD Maintenance Expense</t>
  </si>
  <si>
    <t>Monthly Non-FGD Maintenance Expense</t>
  </si>
  <si>
    <t>Total Monthly Maintenance Expense</t>
  </si>
  <si>
    <t>Monthly Depreciation Expense</t>
  </si>
  <si>
    <t>Monthly Catalyst Amortization Expense</t>
  </si>
  <si>
    <t>Monthly Property Tax</t>
  </si>
  <si>
    <t>Total Monthly Other Expenses</t>
  </si>
  <si>
    <t>Total Revenue Requirement</t>
  </si>
  <si>
    <t>Mitchell Non-FGD  Revenue Requirement</t>
  </si>
  <si>
    <t>Rockport Environmental Revenue Requirement</t>
  </si>
  <si>
    <t xml:space="preserve"> Gain or Loss on Sale of Allowances</t>
  </si>
  <si>
    <t>Kentucky Retail Revenues</t>
  </si>
  <si>
    <t>FERC Wholesale Revenues</t>
  </si>
  <si>
    <t>Associated Utilities Revenues</t>
  </si>
  <si>
    <t>Non-Assoc. Utilities Revenues</t>
  </si>
  <si>
    <t>Retail Non-FGD Allocation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</si>
  <si>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</si>
  <si>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</si>
  <si>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</si>
  <si>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</si>
  <si>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</si>
  <si>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</si>
  <si>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</si>
  <si>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</si>
  <si>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</si>
  <si>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Total</t>
  </si>
  <si>
    <t>Grand Total</t>
  </si>
  <si>
    <t>FGD</t>
  </si>
  <si>
    <t>Expense Month</t>
  </si>
  <si>
    <t>Project</t>
  </si>
  <si>
    <t>MAJOR_LOCATION</t>
  </si>
  <si>
    <t>VINTAGE</t>
  </si>
  <si>
    <t>WORK ORDER NUMBER</t>
  </si>
  <si>
    <t>FERC_ACTIVITY_CODE</t>
  </si>
  <si>
    <t>MONTH_NUMBER</t>
  </si>
  <si>
    <t>ACTIVITY COST</t>
  </si>
  <si>
    <t>WACC</t>
  </si>
  <si>
    <t xml:space="preserve">Rate Base Return </t>
  </si>
  <si>
    <t>Retirement Month</t>
  </si>
  <si>
    <t>Rate Base Adjustment</t>
  </si>
  <si>
    <t>Depreciation Adjustment</t>
  </si>
  <si>
    <t>Property Tax Adjustment</t>
  </si>
  <si>
    <t>Total Mitchell Adjustment</t>
  </si>
  <si>
    <t>Retail ES Allocation Percentage</t>
  </si>
  <si>
    <t>Retail ES Adjustment Required</t>
  </si>
  <si>
    <t>Non-Associated Utilities Percentage Allocation</t>
  </si>
  <si>
    <t>Non-Associated Utilities Adjustment Required</t>
  </si>
  <si>
    <t>Mitchell Generating Plant</t>
  </si>
  <si>
    <t>2002</t>
  </si>
  <si>
    <t>Retirement</t>
  </si>
  <si>
    <t>June 2015</t>
  </si>
  <si>
    <t>2005</t>
  </si>
  <si>
    <t>2006</t>
  </si>
  <si>
    <t>2007</t>
  </si>
  <si>
    <t>2010</t>
  </si>
  <si>
    <t>2011</t>
  </si>
  <si>
    <t>2013</t>
  </si>
  <si>
    <t>2014</t>
  </si>
  <si>
    <t>2000</t>
  </si>
  <si>
    <t>2008</t>
  </si>
  <si>
    <t>2009</t>
  </si>
  <si>
    <t>2012</t>
  </si>
  <si>
    <t>July 2015</t>
  </si>
  <si>
    <t>August 2015</t>
  </si>
  <si>
    <t>September 2015</t>
  </si>
  <si>
    <t>October 2015</t>
  </si>
  <si>
    <t>November 2015</t>
  </si>
  <si>
    <t>December 2015</t>
  </si>
  <si>
    <t>2015</t>
  </si>
  <si>
    <t>Mountaineer Generating Plant</t>
  </si>
  <si>
    <t>X1170530</t>
  </si>
  <si>
    <t>X1170531</t>
  </si>
  <si>
    <t>X1170533</t>
  </si>
  <si>
    <t>X1170534</t>
  </si>
  <si>
    <t>Marshall County, WV rate, 2014</t>
  </si>
  <si>
    <t>WV Listing Percentage</t>
  </si>
  <si>
    <t>Pollution Control Value (Salvage)</t>
  </si>
  <si>
    <t>SCR Catalyst Amount, 6-1-2016--12-31-2016</t>
  </si>
  <si>
    <t>SCR Catalyst Amount 1-31-2016--5/31/2016</t>
  </si>
  <si>
    <t>Total Adjusted Non-FGD Revenue Requirement</t>
  </si>
  <si>
    <t>Monthly Brominated Sodium Bicarbonate (5020028)</t>
  </si>
  <si>
    <t>Monthly Activated Carbon (5020008)</t>
  </si>
  <si>
    <t>Monthly IN Air Emission Fee</t>
  </si>
  <si>
    <t xml:space="preserve">Property Tax </t>
  </si>
  <si>
    <t>Monthly Maintenance Expense</t>
  </si>
  <si>
    <t>Environmental Over/Under O&amp;M E</t>
  </si>
  <si>
    <t>KY Env Sur - Purchase Power</t>
  </si>
  <si>
    <t>Emission Allow KY Env Surch</t>
  </si>
  <si>
    <t>4030001</t>
  </si>
  <si>
    <t>408100515</t>
  </si>
  <si>
    <t>4118010</t>
  </si>
  <si>
    <t>5020015</t>
  </si>
  <si>
    <t>Environmental Over/Under Consu</t>
  </si>
  <si>
    <t>5060013</t>
  </si>
  <si>
    <t>5090014</t>
  </si>
  <si>
    <t>5550142</t>
  </si>
  <si>
    <t>%,LACTUALS,SBAL</t>
  </si>
  <si>
    <t>%,ATF,FACCOUNT</t>
  </si>
  <si>
    <t>%,ATT,FDESCR,UDESCR</t>
  </si>
  <si>
    <t>%,LACTUALS,SPER</t>
  </si>
  <si>
    <t>%,LACTUALS,SPER-1YR</t>
  </si>
  <si>
    <t>%,C</t>
  </si>
  <si>
    <t>%,LACTUALS,SYTD</t>
  </si>
  <si>
    <t>%,LACTUALS,SYTD-1YR</t>
  </si>
  <si>
    <t>%,LACTUALS,SQTR</t>
  </si>
  <si>
    <t>%,LACTUALS,SQTR-1YR</t>
  </si>
  <si>
    <t>%,LACTUALS,SROLLING12</t>
  </si>
  <si>
    <t>%,LACTUALS,SROLNG12-1Y</t>
  </si>
  <si>
    <t>%,LACTUALS,SPER12-2Y</t>
  </si>
  <si>
    <t>%,LACTUALS,SPER1-1YR</t>
  </si>
  <si>
    <t>%,LACTUALS,SPER2-1YR</t>
  </si>
  <si>
    <t>%,LACTUALS,SPER3-1YR</t>
  </si>
  <si>
    <t>%,LACTUALS,SPER4-1YR</t>
  </si>
  <si>
    <t>%,LACTUALS,SPER5-1YR</t>
  </si>
  <si>
    <t>%,LACTUALS,SPER6-1YR</t>
  </si>
  <si>
    <t>%,LACTUALS,SPER7-1YR</t>
  </si>
  <si>
    <t>%,LACTUALS,SPER8-1YR</t>
  </si>
  <si>
    <t>%,LACTUALS,SPER9-1YR</t>
  </si>
  <si>
    <t>%,LACTUALS,SPER10-1YR</t>
  </si>
  <si>
    <t>%,LACTUALS,SPER11-1YR</t>
  </si>
  <si>
    <t>%,LACTUALS,SPER12-YR</t>
  </si>
  <si>
    <t>%,LACTUALS,SPER1</t>
  </si>
  <si>
    <t>%,LACTUALS,SPER2</t>
  </si>
  <si>
    <t>%,LACTUALS,SPER3</t>
  </si>
  <si>
    <t>%,LACTUALS,SPER4</t>
  </si>
  <si>
    <t>%,LACTUALS,SPER5</t>
  </si>
  <si>
    <t>%,LACTUALS,SPER6</t>
  </si>
  <si>
    <t>%,LACTUALS,SPER7</t>
  </si>
  <si>
    <t>%,LACTUALS,SPER8</t>
  </si>
  <si>
    <t>%,LACTUALS,SPER9</t>
  </si>
  <si>
    <t>%,LACTUALS,SPER10</t>
  </si>
  <si>
    <t>%,LACTUALS,SPER11</t>
  </si>
  <si>
    <t>%,LACTUALS,SPER12</t>
  </si>
  <si>
    <t>ONE MONTH ENDED</t>
  </si>
  <si>
    <t>Variance</t>
  </si>
  <si>
    <t>YEAR TO DATE</t>
  </si>
  <si>
    <t>THREE MONTHS ENDED</t>
  </si>
  <si>
    <t>TWELVE MONTHS ENDED</t>
  </si>
  <si>
    <t>$</t>
  </si>
  <si>
    <t>%</t>
  </si>
  <si>
    <t>Explanation</t>
  </si>
  <si>
    <t>FERC Form</t>
  </si>
  <si>
    <t>INCOME STATEMENT</t>
  </si>
  <si>
    <t>Line 1</t>
  </si>
  <si>
    <t>Utility Operating Income</t>
  </si>
  <si>
    <t>%,V4400001</t>
  </si>
  <si>
    <t>4400001</t>
  </si>
  <si>
    <t>Residential Sales-W/Space Htg</t>
  </si>
  <si>
    <t>%,V4400002</t>
  </si>
  <si>
    <t>4400002</t>
  </si>
  <si>
    <t>Residential Sales-W/O Space Ht</t>
  </si>
  <si>
    <t>%,V4400005</t>
  </si>
  <si>
    <t>4400005</t>
  </si>
  <si>
    <t>Residential Fuel Rev</t>
  </si>
  <si>
    <t>%,R,FACCOUNT,TGL_FERC_ACCT,XDYYNNY01,N4400</t>
  </si>
  <si>
    <t>Residential Sales</t>
  </si>
  <si>
    <t>%,V4420001</t>
  </si>
  <si>
    <t>4420001</t>
  </si>
  <si>
    <t>Commercial Sales</t>
  </si>
  <si>
    <t>%,V4420002</t>
  </si>
  <si>
    <t>4420002</t>
  </si>
  <si>
    <t>Industrial Sales (Excl Mines)</t>
  </si>
  <si>
    <t>%,V4420004</t>
  </si>
  <si>
    <t>4420004</t>
  </si>
  <si>
    <t>Ind Sales-NonAffil(Incl Mines)</t>
  </si>
  <si>
    <t>%,V4420006</t>
  </si>
  <si>
    <t>4420006</t>
  </si>
  <si>
    <t>Sales to Pub Auth - Schools</t>
  </si>
  <si>
    <t>%,V4420007</t>
  </si>
  <si>
    <t>4420007</t>
  </si>
  <si>
    <t>Sales to Pub Auth - Ex Schools</t>
  </si>
  <si>
    <t>%,V4420013</t>
  </si>
  <si>
    <t>4420013</t>
  </si>
  <si>
    <t>Commercial Fuel Rev</t>
  </si>
  <si>
    <t>%,V4420016</t>
  </si>
  <si>
    <t>4420016</t>
  </si>
  <si>
    <t>Industrial Fuel Rev</t>
  </si>
  <si>
    <t>%,R,FACCOUNT,TGL_FERC_ACCT,XDYYNNY01,N4420</t>
  </si>
  <si>
    <t>%,V4440000</t>
  </si>
  <si>
    <t>4440000</t>
  </si>
  <si>
    <t>Public Street/Highway Lighting</t>
  </si>
  <si>
    <t>%,V4440002</t>
  </si>
  <si>
    <t>4440002</t>
  </si>
  <si>
    <t>Public St &amp; Hwy Light Fuel Rev</t>
  </si>
  <si>
    <t>%,R,FACCOUNT,TGL_FERC_ACCT,XDYYNNY01,N4440,N4450,N4460,N4480</t>
  </si>
  <si>
    <t>Public Streets and Highway Lighting</t>
  </si>
  <si>
    <t>%,V4470001</t>
  </si>
  <si>
    <t>4470001</t>
  </si>
  <si>
    <t>Sales for Resale - Assoc Cos</t>
  </si>
  <si>
    <t>%,V4470006</t>
  </si>
  <si>
    <t>4470006</t>
  </si>
  <si>
    <t>Sales for Resale-Bookout Sales</t>
  </si>
  <si>
    <t>%,V4470010</t>
  </si>
  <si>
    <t>4470010</t>
  </si>
  <si>
    <t>Sales for Resale-Bookout Purch</t>
  </si>
  <si>
    <t>%,V4470027</t>
  </si>
  <si>
    <t>4470027</t>
  </si>
  <si>
    <t>Whsal/Muni/Pb Ath Fuel Rev</t>
  </si>
  <si>
    <t>%,V4470033</t>
  </si>
  <si>
    <t>4470033</t>
  </si>
  <si>
    <t>Whsal/Muni/Pub Auth Base Rev</t>
  </si>
  <si>
    <t>%,V4470066</t>
  </si>
  <si>
    <t>4470066</t>
  </si>
  <si>
    <t>PWR Trding Trans Exp-NonAssoc</t>
  </si>
  <si>
    <t>%,V4470074</t>
  </si>
  <si>
    <t>4470074</t>
  </si>
  <si>
    <t>Sale for Resale-Aff-Trnf Price</t>
  </si>
  <si>
    <t>%,V4470081</t>
  </si>
  <si>
    <t>4470081</t>
  </si>
  <si>
    <t>Financial Spark Gas - Realized</t>
  </si>
  <si>
    <t>%,V4470082</t>
  </si>
  <si>
    <t>4470082</t>
  </si>
  <si>
    <t>Financial Electric Realized</t>
  </si>
  <si>
    <t>%,V4470089</t>
  </si>
  <si>
    <t>4470089</t>
  </si>
  <si>
    <t>PJM Energy Sales Margin</t>
  </si>
  <si>
    <t>%,V4470098</t>
  </si>
  <si>
    <t>4470098</t>
  </si>
  <si>
    <t>PJM Oper.Reserve Rev-OSS</t>
  </si>
  <si>
    <t>%,V4470099</t>
  </si>
  <si>
    <t>4470099</t>
  </si>
  <si>
    <t>Capacity Cr. Net Sales</t>
  </si>
  <si>
    <t>%,V4470100</t>
  </si>
  <si>
    <t>4470100</t>
  </si>
  <si>
    <t>PJM FTR Revenue-OSS</t>
  </si>
  <si>
    <t>%,V4470103</t>
  </si>
  <si>
    <t>4470103</t>
  </si>
  <si>
    <t>PJM Energy Sales Cost</t>
  </si>
  <si>
    <t>%,V4470107</t>
  </si>
  <si>
    <t>4470107</t>
  </si>
  <si>
    <t>PJM NITS Purch-NonAff.</t>
  </si>
  <si>
    <t>%,V4470109</t>
  </si>
  <si>
    <t>4470109</t>
  </si>
  <si>
    <t>PJM FTR Revenue-Spec</t>
  </si>
  <si>
    <t>%,V4470110</t>
  </si>
  <si>
    <t>4470110</t>
  </si>
  <si>
    <t>PJM TO Admin. Exp.-NonAff.</t>
  </si>
  <si>
    <t>%,V4470112</t>
  </si>
  <si>
    <t>4470112</t>
  </si>
  <si>
    <t>Non-Trading Bookout Sales-OSS</t>
  </si>
  <si>
    <t>%,V4470115</t>
  </si>
  <si>
    <t>4470115</t>
  </si>
  <si>
    <t>PJM Meter Corrections-OSS</t>
  </si>
  <si>
    <t>%,V4470116</t>
  </si>
  <si>
    <t>4470116</t>
  </si>
  <si>
    <t>PJM Meter Corrections-LSE</t>
  </si>
  <si>
    <t>%,V4470126</t>
  </si>
  <si>
    <t>4470126</t>
  </si>
  <si>
    <t>PJM Incremental Imp Cong-OSS</t>
  </si>
  <si>
    <t>%,V4470131</t>
  </si>
  <si>
    <t>4470131</t>
  </si>
  <si>
    <t>Non-Trading Bookout Purch-OSS</t>
  </si>
  <si>
    <t>%,V4470143</t>
  </si>
  <si>
    <t>4470143</t>
  </si>
  <si>
    <t>Financial Hedge Realized</t>
  </si>
  <si>
    <t>%,V4470150</t>
  </si>
  <si>
    <t>4470150</t>
  </si>
  <si>
    <t>Transm. Rev.-Dedic. Whlsl/Muni</t>
  </si>
  <si>
    <t>%,V4470151</t>
  </si>
  <si>
    <t>4470151</t>
  </si>
  <si>
    <t>Trading Auction Sales Affil</t>
  </si>
  <si>
    <t>%,V4470168</t>
  </si>
  <si>
    <t>4470168</t>
  </si>
  <si>
    <t>Interest Rate Swaps-Power</t>
  </si>
  <si>
    <t>%,V4470170</t>
  </si>
  <si>
    <t>4470170</t>
  </si>
  <si>
    <t>Non-ECR Auction Sales-OSS</t>
  </si>
  <si>
    <t>%,V4470175</t>
  </si>
  <si>
    <t>4470175</t>
  </si>
  <si>
    <t>OSS Sharing Reclass - Retail</t>
  </si>
  <si>
    <t>%,V4470176</t>
  </si>
  <si>
    <t>4470176</t>
  </si>
  <si>
    <t>OSS Sharing Reclass-Reduction</t>
  </si>
  <si>
    <t>%,V4470202</t>
  </si>
  <si>
    <t>4470202</t>
  </si>
  <si>
    <t>PJM OpRes-LSE-Credit</t>
  </si>
  <si>
    <t>%,V4470203</t>
  </si>
  <si>
    <t>4470203</t>
  </si>
  <si>
    <t>PJM OpRes-LSE-Charge</t>
  </si>
  <si>
    <t>%,V4470206</t>
  </si>
  <si>
    <t>4470206</t>
  </si>
  <si>
    <t>PJM Trans loss credits-OSS</t>
  </si>
  <si>
    <t>%,V4470209</t>
  </si>
  <si>
    <t>4470209</t>
  </si>
  <si>
    <t>PJM transm loss charges-OSS</t>
  </si>
  <si>
    <t>%,V4470214</t>
  </si>
  <si>
    <t>4470214</t>
  </si>
  <si>
    <t>PJM 30m Suppl Reserve CR OSS</t>
  </si>
  <si>
    <t>%,V4470215</t>
  </si>
  <si>
    <t>4470215</t>
  </si>
  <si>
    <t>PJM 30m Suppl Reserve CH OSS</t>
  </si>
  <si>
    <t>%,V4470220</t>
  </si>
  <si>
    <t>4470220</t>
  </si>
  <si>
    <t>PJM Regulation - OSS</t>
  </si>
  <si>
    <t>%,V4470221</t>
  </si>
  <si>
    <t>4470221</t>
  </si>
  <si>
    <t>PJM Spinning Reserve - OSS</t>
  </si>
  <si>
    <t>%,V4470222</t>
  </si>
  <si>
    <t>4470222</t>
  </si>
  <si>
    <t>PJM Reasctive - OSS</t>
  </si>
  <si>
    <t>%,R,FACCOUNT,TGL_FERC_ACCT,XDYYNNY01,N4470</t>
  </si>
  <si>
    <t>Sales for Resale</t>
  </si>
  <si>
    <t>Sales of Electricity</t>
  </si>
  <si>
    <t>%,V4491002</t>
  </si>
  <si>
    <t>4491002</t>
  </si>
  <si>
    <t>Prov Rate Refund-Nonaffiliated</t>
  </si>
  <si>
    <t>%,V4491003</t>
  </si>
  <si>
    <t>4491003</t>
  </si>
  <si>
    <t>Prov Rate Refund - Retail</t>
  </si>
  <si>
    <t>%,V4491004</t>
  </si>
  <si>
    <t>4491004</t>
  </si>
  <si>
    <t>Prov Rate Refund - Affiliated</t>
  </si>
  <si>
    <t>%,R,FACCOUNT,TGL_FERC_ACCT,XDYYNNY01,N449</t>
  </si>
  <si>
    <t>Less Rate Refund Provision</t>
  </si>
  <si>
    <t>%,V4500000</t>
  </si>
  <si>
    <t>4500000</t>
  </si>
  <si>
    <t>Forfeited Discounts</t>
  </si>
  <si>
    <t>%,V4510001</t>
  </si>
  <si>
    <t>4510001</t>
  </si>
  <si>
    <t>Misc Service Rev - Nonaffil</t>
  </si>
  <si>
    <t>%,V4540001</t>
  </si>
  <si>
    <t>4540001</t>
  </si>
  <si>
    <t>Rent From Elect Property - Af</t>
  </si>
  <si>
    <t>%,V4540002</t>
  </si>
  <si>
    <t>4540002</t>
  </si>
  <si>
    <t>Rent From Elect Property-NAC</t>
  </si>
  <si>
    <t>%,V4540004</t>
  </si>
  <si>
    <t>4540004</t>
  </si>
  <si>
    <t>Rent From Elect Prop-ABD-Nonaf</t>
  </si>
  <si>
    <t>%,V4540005</t>
  </si>
  <si>
    <t>4540005</t>
  </si>
  <si>
    <t>Rent from Elec Prop-Pole Attch</t>
  </si>
  <si>
    <t>%,V4560001</t>
  </si>
  <si>
    <t>4560001</t>
  </si>
  <si>
    <t>Oth Elect Rev - Affiliated</t>
  </si>
  <si>
    <t>%,V4560007</t>
  </si>
  <si>
    <t>4560007</t>
  </si>
  <si>
    <t>Oth Elect Rev - DSM Program</t>
  </si>
  <si>
    <t>%,V4560015</t>
  </si>
  <si>
    <t>4560015</t>
  </si>
  <si>
    <t>Other Electric Revenues - ABD</t>
  </si>
  <si>
    <t>%,V4560017</t>
  </si>
  <si>
    <t>4560017</t>
  </si>
  <si>
    <t>Oth Elect Rev-Trans-Affil</t>
  </si>
  <si>
    <t>%,V4560043</t>
  </si>
  <si>
    <t>4560043</t>
  </si>
  <si>
    <t>Oth Elec Rv-Trn-Aff-Trnf Price</t>
  </si>
  <si>
    <t>%,V4560050</t>
  </si>
  <si>
    <t>4560050</t>
  </si>
  <si>
    <t>Oth Elec Rev-Coal Trd Rlzd G-L</t>
  </si>
  <si>
    <t>%,V4561002</t>
  </si>
  <si>
    <t>4561002</t>
  </si>
  <si>
    <t>RTO Formation Cost Recovery</t>
  </si>
  <si>
    <t>%,V4561003</t>
  </si>
  <si>
    <t>4561003</t>
  </si>
  <si>
    <t>PJM Expansion Cost Recov</t>
  </si>
  <si>
    <t>%,V4561005</t>
  </si>
  <si>
    <t>4561005</t>
  </si>
  <si>
    <t>PJM Point to Point Trans Svc</t>
  </si>
  <si>
    <t>%,V4561006</t>
  </si>
  <si>
    <t>4561006</t>
  </si>
  <si>
    <t>PJM Trans Owner Admin Rev</t>
  </si>
  <si>
    <t>%,V4561007</t>
  </si>
  <si>
    <t>4561007</t>
  </si>
  <si>
    <t>PJM Network Integ Trans Svc</t>
  </si>
  <si>
    <t>%,V4561019</t>
  </si>
  <si>
    <t>4561019</t>
  </si>
  <si>
    <t>Oth Elec Rev Trans Non Affil</t>
  </si>
  <si>
    <t>%,V4561028</t>
  </si>
  <si>
    <t>4561028</t>
  </si>
  <si>
    <t>PJM Pow Fac Cre Rev Whsl Cu-NA</t>
  </si>
  <si>
    <t>%,V4561029</t>
  </si>
  <si>
    <t>4561029</t>
  </si>
  <si>
    <t>PJM NITS Revenue Whsl Cus-NAff</t>
  </si>
  <si>
    <t>%,V4561030</t>
  </si>
  <si>
    <t>4561030</t>
  </si>
  <si>
    <t>PJM TO Serv Rev Whls Cus-NAff</t>
  </si>
  <si>
    <t>%,V4561033</t>
  </si>
  <si>
    <t>4561033</t>
  </si>
  <si>
    <t>PJM NITS Revenue - Affiliated</t>
  </si>
  <si>
    <t>%,V4561034</t>
  </si>
  <si>
    <t>4561034</t>
  </si>
  <si>
    <t>PJM TO Adm. Serv Rev - Aff</t>
  </si>
  <si>
    <t>%,V4561035</t>
  </si>
  <si>
    <t>4561035</t>
  </si>
  <si>
    <t>PJM Affiliated Trans NITS Cost</t>
  </si>
  <si>
    <t>%,V4561036</t>
  </si>
  <si>
    <t>4561036</t>
  </si>
  <si>
    <t>PJM Affiliated Trans TO Cost</t>
  </si>
  <si>
    <t>%,V4561058</t>
  </si>
  <si>
    <t>4561058</t>
  </si>
  <si>
    <t>NonAffil PJM Trans Enhncmt Rev</t>
  </si>
  <si>
    <t>%,V4561059</t>
  </si>
  <si>
    <t>4561059</t>
  </si>
  <si>
    <t>Affil PJM Trans Enhancmnt Rev</t>
  </si>
  <si>
    <t>%,V4561060</t>
  </si>
  <si>
    <t>4561060</t>
  </si>
  <si>
    <t>Affil PJM Trans Enhancmnt Cost</t>
  </si>
  <si>
    <t>%,V4561061</t>
  </si>
  <si>
    <t>4561061</t>
  </si>
  <si>
    <t>NAff PJM RTEP Rev for Whsl-FR</t>
  </si>
  <si>
    <t>%,V4561062</t>
  </si>
  <si>
    <t>4561062</t>
  </si>
  <si>
    <t>PROVISION RTO Cost - Affi</t>
  </si>
  <si>
    <t>%,V4561063</t>
  </si>
  <si>
    <t>4561063</t>
  </si>
  <si>
    <t>PROVISION RTO Rev Affiliated</t>
  </si>
  <si>
    <t>%,V4561064</t>
  </si>
  <si>
    <t>4561064</t>
  </si>
  <si>
    <t>PROVISION RTO Rev WhslCus-NAf</t>
  </si>
  <si>
    <t>%,V4561065</t>
  </si>
  <si>
    <t>4561065</t>
  </si>
  <si>
    <t>PROVISION RTO Rev - NonAff</t>
  </si>
  <si>
    <t>%,R,FACCOUNT,TGL_FERC_ACCT,XDYYNNY01,NOTHER_OPER_REVENUES</t>
  </si>
  <si>
    <t>Other Operating Revenues</t>
  </si>
  <si>
    <t>Line 2</t>
  </si>
  <si>
    <t>Operating Revenues (400)</t>
  </si>
  <si>
    <t>Line 3</t>
  </si>
  <si>
    <t>Operating Expenses</t>
  </si>
  <si>
    <t>%,V5010000</t>
  </si>
  <si>
    <t>5010000</t>
  </si>
  <si>
    <t>Fuel</t>
  </si>
  <si>
    <t>%,V5010001</t>
  </si>
  <si>
    <t>5010001</t>
  </si>
  <si>
    <t>Fuel Consumed</t>
  </si>
  <si>
    <t>%,V5010003</t>
  </si>
  <si>
    <t>5010003</t>
  </si>
  <si>
    <t>Fuel - Procure Unload &amp; Handle</t>
  </si>
  <si>
    <t>%,V5010005</t>
  </si>
  <si>
    <t>5010005</t>
  </si>
  <si>
    <t>Fuel - Deferred</t>
  </si>
  <si>
    <t>%,V5010012</t>
  </si>
  <si>
    <t>5010012</t>
  </si>
  <si>
    <t>Ash Sales Proceeds</t>
  </si>
  <si>
    <t>%,V5010013</t>
  </si>
  <si>
    <t>5010013</t>
  </si>
  <si>
    <t>Fuel Survey Activity</t>
  </si>
  <si>
    <t>%,V5010019</t>
  </si>
  <si>
    <t>5010019</t>
  </si>
  <si>
    <t>Fuel Oil Consumed</t>
  </si>
  <si>
    <t>%,V5010020</t>
  </si>
  <si>
    <t>5010020</t>
  </si>
  <si>
    <t>Nat Gas Consumed Steam</t>
  </si>
  <si>
    <t>%,V5010027</t>
  </si>
  <si>
    <t>5010027</t>
  </si>
  <si>
    <t>Gypsum handling/disposal costs</t>
  </si>
  <si>
    <t>%,V5010028</t>
  </si>
  <si>
    <t>5010028</t>
  </si>
  <si>
    <t>Gypsum Sales Proceeds</t>
  </si>
  <si>
    <t>%,V5010029</t>
  </si>
  <si>
    <t>5010029</t>
  </si>
  <si>
    <t>Gypsum handling/displ-Affiliat</t>
  </si>
  <si>
    <t>%,V5010031</t>
  </si>
  <si>
    <t>5010031</t>
  </si>
  <si>
    <t>Fuel Contract Termination Adj.</t>
  </si>
  <si>
    <t>%,V5010034</t>
  </si>
  <si>
    <t>5010034</t>
  </si>
  <si>
    <t>Gas Transp Res Fees-Steam</t>
  </si>
  <si>
    <t>%,V5010040</t>
  </si>
  <si>
    <t>5010040</t>
  </si>
  <si>
    <t>Gas Procuremnt Sales Net</t>
  </si>
  <si>
    <t>%,FACCOUNT,TGL_FERC_ACCT,XDYYNNY01,N5010</t>
  </si>
  <si>
    <t>Fuel Expense</t>
  </si>
  <si>
    <t>%,V5000000</t>
  </si>
  <si>
    <t>5000000</t>
  </si>
  <si>
    <t>Oper Supervision &amp; Engineering</t>
  </si>
  <si>
    <t>%,V5000001</t>
  </si>
  <si>
    <t>5000001</t>
  </si>
  <si>
    <t>Oper Super &amp; Eng-RATA-Affil</t>
  </si>
  <si>
    <t>%,V5020000</t>
  </si>
  <si>
    <t>5020000</t>
  </si>
  <si>
    <t>Steam Expenses</t>
  </si>
  <si>
    <t>%,V5020002</t>
  </si>
  <si>
    <t>5020002</t>
  </si>
  <si>
    <t>Urea Expense</t>
  </si>
  <si>
    <t>%,V5020003</t>
  </si>
  <si>
    <t>5020003</t>
  </si>
  <si>
    <t>Trona Expense</t>
  </si>
  <si>
    <t>%,V5020004</t>
  </si>
  <si>
    <t>5020004</t>
  </si>
  <si>
    <t>Limestone Expense</t>
  </si>
  <si>
    <t>%,V5020005</t>
  </si>
  <si>
    <t>5020005</t>
  </si>
  <si>
    <t>Polymer expense</t>
  </si>
  <si>
    <t>%,V5020007</t>
  </si>
  <si>
    <t>5020007</t>
  </si>
  <si>
    <t>Lime Hydrate Expense</t>
  </si>
  <si>
    <t>%,V5020014</t>
  </si>
  <si>
    <t>5020014</t>
  </si>
  <si>
    <t>Calcium Bromide Expense</t>
  </si>
  <si>
    <t>%,V5020015</t>
  </si>
  <si>
    <t>%,V5020028</t>
  </si>
  <si>
    <t>5020028</t>
  </si>
  <si>
    <t>Sodium Bicarbonate Expense</t>
  </si>
  <si>
    <t>%,V5050000</t>
  </si>
  <si>
    <t>5050000</t>
  </si>
  <si>
    <t>Electric Expenses</t>
  </si>
  <si>
    <t>%,V5060000</t>
  </si>
  <si>
    <t>5060000</t>
  </si>
  <si>
    <t>Misc Steam Power Expenses</t>
  </si>
  <si>
    <t>%,V5060002</t>
  </si>
  <si>
    <t>5060002</t>
  </si>
  <si>
    <t>Misc Steam Power Exp-Assoc</t>
  </si>
  <si>
    <t>%,V5060003</t>
  </si>
  <si>
    <t>5060003</t>
  </si>
  <si>
    <t>Removal Cost Expense - Steam</t>
  </si>
  <si>
    <t>%,V5060004</t>
  </si>
  <si>
    <t>5060004</t>
  </si>
  <si>
    <t>NSR Settlement Expense</t>
  </si>
  <si>
    <t>%,V5060011</t>
  </si>
  <si>
    <t>5060011</t>
  </si>
  <si>
    <t>BSRR O/U Recovery-Oper Costs</t>
  </si>
  <si>
    <t>%,V5060012</t>
  </si>
  <si>
    <t>5060012</t>
  </si>
  <si>
    <t>BS1OR O/U Recovery-Oper Costs</t>
  </si>
  <si>
    <t>%,V5060013</t>
  </si>
  <si>
    <t>%,V5080017</t>
  </si>
  <si>
    <t>5080017</t>
  </si>
  <si>
    <t>IPP Oper - Training/Travel</t>
  </si>
  <si>
    <t>%,V5090000</t>
  </si>
  <si>
    <t>5090000</t>
  </si>
  <si>
    <t>Allow Consum Title IV SO2</t>
  </si>
  <si>
    <t>%,V5090002</t>
  </si>
  <si>
    <t>5090002</t>
  </si>
  <si>
    <t>Allowance Expenses</t>
  </si>
  <si>
    <t>%,V5090009</t>
  </si>
  <si>
    <t>5090009</t>
  </si>
  <si>
    <t>Allow Consumpt CSAPR SO2</t>
  </si>
  <si>
    <t>%,V5090014</t>
  </si>
  <si>
    <t>%,FACCOUNT,TGL_FERC_ACCT,XDYYNNY01,N500-509_EXC_501</t>
  </si>
  <si>
    <t>Steam Power Operations</t>
  </si>
  <si>
    <t>%,V5200000</t>
  </si>
  <si>
    <t>5200000</t>
  </si>
  <si>
    <t>%,FACCOUNT,TGL_FERC_ACCT,XDYYNNY01,N517-525</t>
  </si>
  <si>
    <t>Nuclear Power Operations</t>
  </si>
  <si>
    <t>%,FACCOUNT,TGL_FERC_ACCT,XDYYNNY01,N535-540</t>
  </si>
  <si>
    <t>Hydraulic Power Operations</t>
  </si>
  <si>
    <t>%,V5470004</t>
  </si>
  <si>
    <t>5470004</t>
  </si>
  <si>
    <t>Fuel - Gas Turb - Purch / Hand</t>
  </si>
  <si>
    <t>%,FACCOUNT,TGL_FERC_ACCT,XDYYNNY01,N546-550</t>
  </si>
  <si>
    <t>Other Power Operations</t>
  </si>
  <si>
    <t>%,V5550000</t>
  </si>
  <si>
    <t>5550000</t>
  </si>
  <si>
    <t>Purchased Power</t>
  </si>
  <si>
    <t>%,V5550001</t>
  </si>
  <si>
    <t>5550001</t>
  </si>
  <si>
    <t>Purch Pwr-NonTrading-Nonassoc</t>
  </si>
  <si>
    <t>%,V5550023</t>
  </si>
  <si>
    <t>5550023</t>
  </si>
  <si>
    <t>Purch Power Capacity -NA</t>
  </si>
  <si>
    <t>%,V5550027</t>
  </si>
  <si>
    <t>5550027</t>
  </si>
  <si>
    <t>Purch Pwr-Non-Fuel Portion-Aff</t>
  </si>
  <si>
    <t>%,V5550029</t>
  </si>
  <si>
    <t>5550029</t>
  </si>
  <si>
    <t>Purch Power-Assoc-Trnsfr Price</t>
  </si>
  <si>
    <t>%,V5550032</t>
  </si>
  <si>
    <t>5550032</t>
  </si>
  <si>
    <t>Gas-Conversion-Mone Plant</t>
  </si>
  <si>
    <t>%,V5550039</t>
  </si>
  <si>
    <t>5550039</t>
  </si>
  <si>
    <t>PJM Inadvertent Mtr Res-OSS</t>
  </si>
  <si>
    <t>%,V5550040</t>
  </si>
  <si>
    <t>5550040</t>
  </si>
  <si>
    <t>PJM Inadvertent Mtr Res-LSE</t>
  </si>
  <si>
    <t>%,V5550041</t>
  </si>
  <si>
    <t>5550041</t>
  </si>
  <si>
    <t>PJM Ancillary Serv.-Sync</t>
  </si>
  <si>
    <t>%,V5550046</t>
  </si>
  <si>
    <t>5550046</t>
  </si>
  <si>
    <t>Purch Power-Fuel Portion-Affil</t>
  </si>
  <si>
    <t>%,V5550074</t>
  </si>
  <si>
    <t>5550074</t>
  </si>
  <si>
    <t>PJM Reactive-Charge</t>
  </si>
  <si>
    <t>%,V5550075</t>
  </si>
  <si>
    <t>5550075</t>
  </si>
  <si>
    <t>PJM Reactive-Credit</t>
  </si>
  <si>
    <t>%,V5550076</t>
  </si>
  <si>
    <t>5550076</t>
  </si>
  <si>
    <t>PJM Black Start-Charge</t>
  </si>
  <si>
    <t>%,V5550078</t>
  </si>
  <si>
    <t>5550078</t>
  </si>
  <si>
    <t>PJM Regulation-Charge</t>
  </si>
  <si>
    <t>%,V5550079</t>
  </si>
  <si>
    <t>5550079</t>
  </si>
  <si>
    <t>PJM Regulation-Credit</t>
  </si>
  <si>
    <t>%,V5550080</t>
  </si>
  <si>
    <t>5550080</t>
  </si>
  <si>
    <t>PJM Hourly Net Purch.-FERC</t>
  </si>
  <si>
    <t>%,V5550083</t>
  </si>
  <si>
    <t>5550083</t>
  </si>
  <si>
    <t>PJM Spinning Reserve-Charge</t>
  </si>
  <si>
    <t>%,V5550084</t>
  </si>
  <si>
    <t>5550084</t>
  </si>
  <si>
    <t>PJM Spinning Reserve-Credit</t>
  </si>
  <si>
    <t>%,V5550090</t>
  </si>
  <si>
    <t>5550090</t>
  </si>
  <si>
    <t>PJM 30m Suppl Rserv Charge LSE</t>
  </si>
  <si>
    <t>%,V5550093</t>
  </si>
  <si>
    <t>5550093</t>
  </si>
  <si>
    <t>Peak Hour Avail charge - LSE</t>
  </si>
  <si>
    <t>%,V5550094</t>
  </si>
  <si>
    <t>5550094</t>
  </si>
  <si>
    <t>Purchased Power - Fuel</t>
  </si>
  <si>
    <t>%,V5550099</t>
  </si>
  <si>
    <t>5550099</t>
  </si>
  <si>
    <t>PJM Purchases-non-ECR-Auction</t>
  </si>
  <si>
    <t>%,V5550100</t>
  </si>
  <si>
    <t>5550100</t>
  </si>
  <si>
    <t>Capacity Purchases-Auction</t>
  </si>
  <si>
    <t>%,V5550107</t>
  </si>
  <si>
    <t>5550107</t>
  </si>
  <si>
    <t>Capacity purchases - Trading</t>
  </si>
  <si>
    <t>%,V5550123</t>
  </si>
  <si>
    <t>5550123</t>
  </si>
  <si>
    <t>%,V5550124</t>
  </si>
  <si>
    <t>5550124</t>
  </si>
  <si>
    <t>PJM Implicit Congestion-LSE</t>
  </si>
  <si>
    <t>%,V5550132</t>
  </si>
  <si>
    <t>5550132</t>
  </si>
  <si>
    <t>PJM FTR Revenue-LSE</t>
  </si>
  <si>
    <t>%,V5550137</t>
  </si>
  <si>
    <t>5550137</t>
  </si>
  <si>
    <t>%,V5550141</t>
  </si>
  <si>
    <t>5550141</t>
  </si>
  <si>
    <t>Purchase Power-PPA Deferred</t>
  </si>
  <si>
    <t>%,V5550142</t>
  </si>
  <si>
    <t>%,V5550143</t>
  </si>
  <si>
    <t>5550143</t>
  </si>
  <si>
    <t>BS1OR PJM Over/Under Recovery</t>
  </si>
  <si>
    <t>%,V5550326</t>
  </si>
  <si>
    <t>5550326</t>
  </si>
  <si>
    <t>PJM Transm Loss Charges - LSE</t>
  </si>
  <si>
    <t>%,V5550327</t>
  </si>
  <si>
    <t>5550327</t>
  </si>
  <si>
    <t>PJM Transm Loss Credits-LSE</t>
  </si>
  <si>
    <t>%,V5560000</t>
  </si>
  <si>
    <t>5560000</t>
  </si>
  <si>
    <t>Sys Control &amp; Load Dispatching</t>
  </si>
  <si>
    <t>%,V5570000</t>
  </si>
  <si>
    <t>5570000</t>
  </si>
  <si>
    <t>Other Expenses</t>
  </si>
  <si>
    <t>%,V5570007</t>
  </si>
  <si>
    <t>5570007</t>
  </si>
  <si>
    <t>Other Pwr Exp - Wholesale RECs</t>
  </si>
  <si>
    <t>%,V5570008</t>
  </si>
  <si>
    <t>5570008</t>
  </si>
  <si>
    <t>Other Pwr Exp - Voluntary RECs</t>
  </si>
  <si>
    <t>%,FACCOUNT,TGL_FERC_ACCT,XDYYNNY01,N555-557</t>
  </si>
  <si>
    <t>%,V4010001</t>
  </si>
  <si>
    <t>4010001</t>
  </si>
  <si>
    <t>Operation Exp - Nonassociated</t>
  </si>
  <si>
    <t>%,FACCOUNT,TGL_FERC_ACCT,XDYYNNY01,N401_OPERATION</t>
  </si>
  <si>
    <t>401 Operation Expense</t>
  </si>
  <si>
    <t>%,V5600000</t>
  </si>
  <si>
    <t>5600000</t>
  </si>
  <si>
    <t>%,V5611000</t>
  </si>
  <si>
    <t>5611000</t>
  </si>
  <si>
    <t>Load Dispatch - Reliability</t>
  </si>
  <si>
    <t>%,V5612000</t>
  </si>
  <si>
    <t>5612000</t>
  </si>
  <si>
    <t>Load Dispatch-Mntr&amp;Op TransSys</t>
  </si>
  <si>
    <t>%,V5614000</t>
  </si>
  <si>
    <t>5614000</t>
  </si>
  <si>
    <t>PJM Admin-SSC&amp;DS-OSS</t>
  </si>
  <si>
    <t>%,V5614001</t>
  </si>
  <si>
    <t>5614001</t>
  </si>
  <si>
    <t>PJM Admin-SSC&amp;DS-Internal</t>
  </si>
  <si>
    <t>%,V5614007</t>
  </si>
  <si>
    <t>5614007</t>
  </si>
  <si>
    <t>RTO Admin Default LSE.</t>
  </si>
  <si>
    <t>%,V5615000</t>
  </si>
  <si>
    <t>5615000</t>
  </si>
  <si>
    <t>Reliability,Plng&amp;Stds Develop</t>
  </si>
  <si>
    <t>%,V5616000</t>
  </si>
  <si>
    <t>5616000</t>
  </si>
  <si>
    <t>Transmission Service Studies</t>
  </si>
  <si>
    <t>%,V5618000</t>
  </si>
  <si>
    <t>5618000</t>
  </si>
  <si>
    <t>PJM Admin-RP&amp;SDS-OSS</t>
  </si>
  <si>
    <t>%,V5618001</t>
  </si>
  <si>
    <t>5618001</t>
  </si>
  <si>
    <t>PJM Admin-RP&amp;SDS- Internal</t>
  </si>
  <si>
    <t>%,V5620001</t>
  </si>
  <si>
    <t>5620001</t>
  </si>
  <si>
    <t>Station Expenses - Nonassoc</t>
  </si>
  <si>
    <t>%,V5630000</t>
  </si>
  <si>
    <t>5630000</t>
  </si>
  <si>
    <t>Overhead Line Expenses</t>
  </si>
  <si>
    <t>%,V5640000</t>
  </si>
  <si>
    <t>5640000</t>
  </si>
  <si>
    <t>Underground Line Expenses</t>
  </si>
  <si>
    <t>%,V5650002</t>
  </si>
  <si>
    <t>5650002</t>
  </si>
  <si>
    <t>Transmssn Elec by Others-NAC</t>
  </si>
  <si>
    <t>%,V5650007</t>
  </si>
  <si>
    <t>5650007</t>
  </si>
  <si>
    <t>Tran Elec by Oth-Aff-Trn Price</t>
  </si>
  <si>
    <t>%,V5650012</t>
  </si>
  <si>
    <t>5650012</t>
  </si>
  <si>
    <t>PJM Trans Enhancement Charge</t>
  </si>
  <si>
    <t>%,V5650015</t>
  </si>
  <si>
    <t>5650015</t>
  </si>
  <si>
    <t>PJM TO Serv Exp - Aff</t>
  </si>
  <si>
    <t>%,V5650016</t>
  </si>
  <si>
    <t>5650016</t>
  </si>
  <si>
    <t>PJM NITS Expense - Affiliated</t>
  </si>
  <si>
    <t>%,V5650019</t>
  </si>
  <si>
    <t>5650019</t>
  </si>
  <si>
    <t>Affil PJM Trans Enhncement Exp</t>
  </si>
  <si>
    <t>%,V5650020</t>
  </si>
  <si>
    <t>5650020</t>
  </si>
  <si>
    <t>PROVISION RTO Affl Expense</t>
  </si>
  <si>
    <t>%,V5660000</t>
  </si>
  <si>
    <t>5660000</t>
  </si>
  <si>
    <t>Misc Transmission Expenses</t>
  </si>
  <si>
    <t>%,V5660004</t>
  </si>
  <si>
    <t>5660004</t>
  </si>
  <si>
    <t>SPP FERC Assessment Fees</t>
  </si>
  <si>
    <t>%,V5660008</t>
  </si>
  <si>
    <t>5660008</t>
  </si>
  <si>
    <t>R.King Trans Cnter Exp - Affil</t>
  </si>
  <si>
    <t>%,V5670001</t>
  </si>
  <si>
    <t>5670001</t>
  </si>
  <si>
    <t>Rents - Nonassociated</t>
  </si>
  <si>
    <t>%,V5670002</t>
  </si>
  <si>
    <t>5670002</t>
  </si>
  <si>
    <t>Rents - Associated</t>
  </si>
  <si>
    <t>%,FACCOUNT,TGL_FERC_ACCT,XDYYNNY01,N560-567</t>
  </si>
  <si>
    <t>Transmission Operations</t>
  </si>
  <si>
    <t>%,V5757000</t>
  </si>
  <si>
    <t>5757000</t>
  </si>
  <si>
    <t>PJM Admin-MAM&amp;SC- OSS</t>
  </si>
  <si>
    <t>%,V5757001</t>
  </si>
  <si>
    <t>5757001</t>
  </si>
  <si>
    <t>PJM Admin-MAM&amp;SC- Internal</t>
  </si>
  <si>
    <t>%,FACCOUNT,TGL_FERC_ACCT,XDYYNNY01,N575-576</t>
  </si>
  <si>
    <t>Regional Market Expense</t>
  </si>
  <si>
    <t>%,V5800000</t>
  </si>
  <si>
    <t>5800000</t>
  </si>
  <si>
    <t>%,V5810000</t>
  </si>
  <si>
    <t>5810000</t>
  </si>
  <si>
    <t>Load Dispatching</t>
  </si>
  <si>
    <t>%,V5820000</t>
  </si>
  <si>
    <t>5820000</t>
  </si>
  <si>
    <t>Station Expenses</t>
  </si>
  <si>
    <t>%,V5830000</t>
  </si>
  <si>
    <t>5830000</t>
  </si>
  <si>
    <t>%,V5840000</t>
  </si>
  <si>
    <t>5840000</t>
  </si>
  <si>
    <t>%,V5850000</t>
  </si>
  <si>
    <t>5850000</t>
  </si>
  <si>
    <t>Street Lighting &amp; Signal Sys E</t>
  </si>
  <si>
    <t>%,V5860000</t>
  </si>
  <si>
    <t>5860000</t>
  </si>
  <si>
    <t>Meter Expenses</t>
  </si>
  <si>
    <t>%,V5870000</t>
  </si>
  <si>
    <t>5870000</t>
  </si>
  <si>
    <t>Customer Installations Exp</t>
  </si>
  <si>
    <t>%,V5880000</t>
  </si>
  <si>
    <t>5880000</t>
  </si>
  <si>
    <t>Miscellaneous Distribution Exp</t>
  </si>
  <si>
    <t>%,V5890001</t>
  </si>
  <si>
    <t>5890001</t>
  </si>
  <si>
    <t>%,V5890002</t>
  </si>
  <si>
    <t>5890002</t>
  </si>
  <si>
    <t>%,FACCOUNT,TGL_FERC_ACCT,XDYYNNY01,N580-589</t>
  </si>
  <si>
    <t>Distribution Expense</t>
  </si>
  <si>
    <t>%,FACCOUNT,TGL_FERC_ACCT,XDYYNNY01,N814-826,N871-881</t>
  </si>
  <si>
    <t>Gas Operations</t>
  </si>
  <si>
    <t>%,V9010000</t>
  </si>
  <si>
    <t>9010000</t>
  </si>
  <si>
    <t>Supervision - Customer Accts</t>
  </si>
  <si>
    <t>%,V9020000</t>
  </si>
  <si>
    <t>9020000</t>
  </si>
  <si>
    <t>Meter Reading Expenses</t>
  </si>
  <si>
    <t>%,V9020001</t>
  </si>
  <si>
    <t>9020001</t>
  </si>
  <si>
    <t>Customer Card Reading</t>
  </si>
  <si>
    <t>%,V9020002</t>
  </si>
  <si>
    <t>9020002</t>
  </si>
  <si>
    <t>Meter Reading - Regular</t>
  </si>
  <si>
    <t>%,V9020003</t>
  </si>
  <si>
    <t>9020003</t>
  </si>
  <si>
    <t>Meter Reading - Large Power</t>
  </si>
  <si>
    <t>%,V9020004</t>
  </si>
  <si>
    <t>9020004</t>
  </si>
  <si>
    <t>Read-In &amp; Read-Out Meters</t>
  </si>
  <si>
    <t>%,V9030000</t>
  </si>
  <si>
    <t>9030000</t>
  </si>
  <si>
    <t>Cust Records &amp; Collection Exp</t>
  </si>
  <si>
    <t>%,V9030001</t>
  </si>
  <si>
    <t>9030001</t>
  </si>
  <si>
    <t>Customer Orders &amp; Inquiries</t>
  </si>
  <si>
    <t>%,V9030002</t>
  </si>
  <si>
    <t>9030002</t>
  </si>
  <si>
    <t>Manual Billing</t>
  </si>
  <si>
    <t>%,V9030003</t>
  </si>
  <si>
    <t>9030003</t>
  </si>
  <si>
    <t>Postage - Customer Bills</t>
  </si>
  <si>
    <t>%,V9030004</t>
  </si>
  <si>
    <t>9030004</t>
  </si>
  <si>
    <t>Cashiering</t>
  </si>
  <si>
    <t>%,V9030005</t>
  </si>
  <si>
    <t>9030005</t>
  </si>
  <si>
    <t>Collection Agents Fees &amp; Exp</t>
  </si>
  <si>
    <t>%,V9030006</t>
  </si>
  <si>
    <t>9030006</t>
  </si>
  <si>
    <t>Credit &amp; Oth Collection Activi</t>
  </si>
  <si>
    <t>%,V9030007</t>
  </si>
  <si>
    <t>9030007</t>
  </si>
  <si>
    <t>Collectors</t>
  </si>
  <si>
    <t>%,V9030009</t>
  </si>
  <si>
    <t>9030009</t>
  </si>
  <si>
    <t>Data Processing</t>
  </si>
  <si>
    <t>%,V9040007</t>
  </si>
  <si>
    <t>9040007</t>
  </si>
  <si>
    <t>Uncoll Accts - Misc Receivable</t>
  </si>
  <si>
    <t>%,V9050000</t>
  </si>
  <si>
    <t>9050000</t>
  </si>
  <si>
    <t>Misc Customer Accounts Exp</t>
  </si>
  <si>
    <t>%,FACCOUNT,TGL_FERC_ACCT,XDYYNNY01,N901-905</t>
  </si>
  <si>
    <t>Customer Account Expense</t>
  </si>
  <si>
    <t>%,V9070000</t>
  </si>
  <si>
    <t>9070000</t>
  </si>
  <si>
    <t>Supervision - Customer Service</t>
  </si>
  <si>
    <t>%,V9070001</t>
  </si>
  <si>
    <t>9070001</t>
  </si>
  <si>
    <t>Supervision - DSM</t>
  </si>
  <si>
    <t>%,V9080000</t>
  </si>
  <si>
    <t>9080000</t>
  </si>
  <si>
    <t>Customer Assistance Expenses</t>
  </si>
  <si>
    <t>%,V9080001</t>
  </si>
  <si>
    <t>9080001</t>
  </si>
  <si>
    <t>DSM-Customer Advisory Grp</t>
  </si>
  <si>
    <t>%,V9080004</t>
  </si>
  <si>
    <t>9080004</t>
  </si>
  <si>
    <t>Cust Assistnce Exp - DSM - Ind</t>
  </si>
  <si>
    <t>%,V9080009</t>
  </si>
  <si>
    <t>9080009</t>
  </si>
  <si>
    <t>Cust Assistance Expense - DSM</t>
  </si>
  <si>
    <t>%,V9090000</t>
  </si>
  <si>
    <t>9090000</t>
  </si>
  <si>
    <t>Information &amp; Instruct Advrtis</t>
  </si>
  <si>
    <t>%,V9100000</t>
  </si>
  <si>
    <t>9100000</t>
  </si>
  <si>
    <t>Misc Cust Svc&amp;Informational Ex</t>
  </si>
  <si>
    <t>%,V9100001</t>
  </si>
  <si>
    <t>9100001</t>
  </si>
  <si>
    <t>Misc Cust Svc &amp; Info Exp - RCS</t>
  </si>
  <si>
    <t>%,V9110001</t>
  </si>
  <si>
    <t>9110001</t>
  </si>
  <si>
    <t>Supervision - Residential</t>
  </si>
  <si>
    <t>%,V9110002</t>
  </si>
  <si>
    <t>9110002</t>
  </si>
  <si>
    <t>Supervision - Comm &amp; Ind</t>
  </si>
  <si>
    <t>%,V9120000</t>
  </si>
  <si>
    <t>9120000</t>
  </si>
  <si>
    <t>Demonstrating &amp; Selling Exp</t>
  </si>
  <si>
    <t>%,V9120001</t>
  </si>
  <si>
    <t>9120001</t>
  </si>
  <si>
    <t>Demo &amp; Selling Exp - Res</t>
  </si>
  <si>
    <t>%,V9130000</t>
  </si>
  <si>
    <t>9130000</t>
  </si>
  <si>
    <t>Advertising Expenses</t>
  </si>
  <si>
    <t>%,V9130001</t>
  </si>
  <si>
    <t>9130001</t>
  </si>
  <si>
    <t>Advertising Exp - Residential</t>
  </si>
  <si>
    <t>%,V9130006</t>
  </si>
  <si>
    <t>9130006</t>
  </si>
  <si>
    <t>Advertising Exp-Mktg Research</t>
  </si>
  <si>
    <t>%,FACCOUNT,TGL_FERC_ACCT,XDYYNNY01,N906-917</t>
  </si>
  <si>
    <t>Customer Service Information &amp; Sales</t>
  </si>
  <si>
    <t>%,V9200000</t>
  </si>
  <si>
    <t>9200000</t>
  </si>
  <si>
    <t>Administrative &amp; Gen Salaries</t>
  </si>
  <si>
    <t>%,V9210001</t>
  </si>
  <si>
    <t>9210001</t>
  </si>
  <si>
    <t>Off Supl &amp; Exp - Nonassociated</t>
  </si>
  <si>
    <t>%,V9210003</t>
  </si>
  <si>
    <t>9210003</t>
  </si>
  <si>
    <t>Office Supplies &amp; Exp - Trnsf</t>
  </si>
  <si>
    <t>%,V9210005</t>
  </si>
  <si>
    <t>9210005</t>
  </si>
  <si>
    <t>Cellular Phones and Pagers</t>
  </si>
  <si>
    <t>%,V9220000</t>
  </si>
  <si>
    <t>9220000</t>
  </si>
  <si>
    <t>Administrative Exp Trnsf - Cr</t>
  </si>
  <si>
    <t>%,V9220001</t>
  </si>
  <si>
    <t>9220001</t>
  </si>
  <si>
    <t>Admin Exp Trnsf to Cnstrction</t>
  </si>
  <si>
    <t>%,V9220004</t>
  </si>
  <si>
    <t>9220004</t>
  </si>
  <si>
    <t>Admin Exp Trnsf to ABD</t>
  </si>
  <si>
    <t>%,V9230001</t>
  </si>
  <si>
    <t>9230001</t>
  </si>
  <si>
    <t>Outside Svcs Empl - Nonassoc</t>
  </si>
  <si>
    <t>%,V9230003</t>
  </si>
  <si>
    <t>9230003</t>
  </si>
  <si>
    <t>AEPSC Billed to Client Co</t>
  </si>
  <si>
    <t>%,V9240000</t>
  </si>
  <si>
    <t>9240000</t>
  </si>
  <si>
    <t>Property Insurance</t>
  </si>
  <si>
    <t>%,V9250000</t>
  </si>
  <si>
    <t>9250000</t>
  </si>
  <si>
    <t>Injuries and Damages</t>
  </si>
  <si>
    <t>%,V9250001</t>
  </si>
  <si>
    <t>9250001</t>
  </si>
  <si>
    <t>Safety Dinners and Awards</t>
  </si>
  <si>
    <t>%,V9250002</t>
  </si>
  <si>
    <t>9250002</t>
  </si>
  <si>
    <t>Emp Accdent Prvntion-Adm Exp</t>
  </si>
  <si>
    <t>%,V9250004</t>
  </si>
  <si>
    <t>9250004</t>
  </si>
  <si>
    <t>Injuries to Employees</t>
  </si>
  <si>
    <t>%,V9250006</t>
  </si>
  <si>
    <t>9250006</t>
  </si>
  <si>
    <t>Wrkrs Cmpnstn Pre&amp;Slf Ins Prv</t>
  </si>
  <si>
    <t>%,V9250007</t>
  </si>
  <si>
    <t>9250007</t>
  </si>
  <si>
    <t>Prsnal Injries&amp;Prop Dmage-Pub</t>
  </si>
  <si>
    <t>%,V9250010</t>
  </si>
  <si>
    <t>9250010</t>
  </si>
  <si>
    <t>Frg Ben Loading - Workers Comp</t>
  </si>
  <si>
    <t>%,V9260000</t>
  </si>
  <si>
    <t>9260000</t>
  </si>
  <si>
    <t>Employee Pensions &amp; Benefits</t>
  </si>
  <si>
    <t>%,V9260001</t>
  </si>
  <si>
    <t>9260001</t>
  </si>
  <si>
    <t>Edit &amp; Print Empl Pub-Salaries</t>
  </si>
  <si>
    <t>%,V9260002</t>
  </si>
  <si>
    <t>9260002</t>
  </si>
  <si>
    <t>Pension &amp; Group Ins Admin</t>
  </si>
  <si>
    <t>%,V9260003</t>
  </si>
  <si>
    <t>9260003</t>
  </si>
  <si>
    <t>Pension Plan</t>
  </si>
  <si>
    <t>%,V9260004</t>
  </si>
  <si>
    <t>9260004</t>
  </si>
  <si>
    <t>Group Life Insurance Premiums</t>
  </si>
  <si>
    <t>%,V9260005</t>
  </si>
  <si>
    <t>9260005</t>
  </si>
  <si>
    <t>Group Medical Ins Premiums</t>
  </si>
  <si>
    <t>%,V9260006</t>
  </si>
  <si>
    <t>9260006</t>
  </si>
  <si>
    <t>Physical Examinations</t>
  </si>
  <si>
    <t>%,V9260007</t>
  </si>
  <si>
    <t>9260007</t>
  </si>
  <si>
    <t>Group L-T Disability Ins Prem</t>
  </si>
  <si>
    <t>%,V9260009</t>
  </si>
  <si>
    <t>9260009</t>
  </si>
  <si>
    <t>Group Dental Insurance Prem</t>
  </si>
  <si>
    <t>%,V9260010</t>
  </si>
  <si>
    <t>9260010</t>
  </si>
  <si>
    <t>Training Administration Exp</t>
  </si>
  <si>
    <t>%,V9260012</t>
  </si>
  <si>
    <t>9260012</t>
  </si>
  <si>
    <t>Employee Activities</t>
  </si>
  <si>
    <t>%,V9260014</t>
  </si>
  <si>
    <t>9260014</t>
  </si>
  <si>
    <t>Educational Assistance Pmts</t>
  </si>
  <si>
    <t>%,V9260021</t>
  </si>
  <si>
    <t>9260021</t>
  </si>
  <si>
    <t>Postretirement Benefits - OPEB</t>
  </si>
  <si>
    <t>%,V9260027</t>
  </si>
  <si>
    <t>9260027</t>
  </si>
  <si>
    <t>Savings Plan Contributions</t>
  </si>
  <si>
    <t>%,V9260036</t>
  </si>
  <si>
    <t>9260036</t>
  </si>
  <si>
    <t>Deferred Compensation</t>
  </si>
  <si>
    <t>%,V9260037</t>
  </si>
  <si>
    <t>9260037</t>
  </si>
  <si>
    <t>Supplemental Pension</t>
  </si>
  <si>
    <t>%,V9260040</t>
  </si>
  <si>
    <t>9260040</t>
  </si>
  <si>
    <t>SFAS 112 Postemployment Benef</t>
  </si>
  <si>
    <t>%,V9260050</t>
  </si>
  <si>
    <t>9260050</t>
  </si>
  <si>
    <t>Frg Ben Loading - Pension</t>
  </si>
  <si>
    <t>%,V9260051</t>
  </si>
  <si>
    <t>9260051</t>
  </si>
  <si>
    <t>Frg Ben Loading - Grp Ins</t>
  </si>
  <si>
    <t>%,V9260052</t>
  </si>
  <si>
    <t>9260052</t>
  </si>
  <si>
    <t>Frg Ben Loading - Savings</t>
  </si>
  <si>
    <t>%,V9260053</t>
  </si>
  <si>
    <t>9260053</t>
  </si>
  <si>
    <t>Frg Ben Loading - OPEB</t>
  </si>
  <si>
    <t>%,V9260055</t>
  </si>
  <si>
    <t>9260055</t>
  </si>
  <si>
    <t>IntercoFringeOffset- Don't Use</t>
  </si>
  <si>
    <t>%,V9260057</t>
  </si>
  <si>
    <t>9260057</t>
  </si>
  <si>
    <t>Postret Ben Medicare Subsidy</t>
  </si>
  <si>
    <t>%,V9260058</t>
  </si>
  <si>
    <t>9260058</t>
  </si>
  <si>
    <t>Frg Ben Loading - Accrual</t>
  </si>
  <si>
    <t>%,V9260060</t>
  </si>
  <si>
    <t>9260060</t>
  </si>
  <si>
    <t>Amort-Post Retirerment Benefit</t>
  </si>
  <si>
    <t>%,V9270000</t>
  </si>
  <si>
    <t>9270000</t>
  </si>
  <si>
    <t>Franchise Requirements</t>
  </si>
  <si>
    <t>%,V9280000</t>
  </si>
  <si>
    <t>9280000</t>
  </si>
  <si>
    <t>Regulatory Commission Exp</t>
  </si>
  <si>
    <t>%,V9280001</t>
  </si>
  <si>
    <t>9280001</t>
  </si>
  <si>
    <t>Regulatory Commission Exp-Adm</t>
  </si>
  <si>
    <t>%,V9280002</t>
  </si>
  <si>
    <t>9280002</t>
  </si>
  <si>
    <t>Regulatory Commission Exp-Case</t>
  </si>
  <si>
    <t>%,V9280005</t>
  </si>
  <si>
    <t>9280005</t>
  </si>
  <si>
    <t>Reg Com Exp-FERC Trans Cases</t>
  </si>
  <si>
    <t>%,V9301000</t>
  </si>
  <si>
    <t>9301000</t>
  </si>
  <si>
    <t>General Advertising Expenses</t>
  </si>
  <si>
    <t>%,V9301001</t>
  </si>
  <si>
    <t>9301001</t>
  </si>
  <si>
    <t>Newspaper Advertising Space</t>
  </si>
  <si>
    <t>%,V9301002</t>
  </si>
  <si>
    <t>9301002</t>
  </si>
  <si>
    <t>Radio Station Advertising Time</t>
  </si>
  <si>
    <t>%,V9301003</t>
  </si>
  <si>
    <t>9301003</t>
  </si>
  <si>
    <t>TV Station Advertising Time</t>
  </si>
  <si>
    <t>%,V9301010</t>
  </si>
  <si>
    <t>9301010</t>
  </si>
  <si>
    <t>Publicity</t>
  </si>
  <si>
    <t>%,V9301012</t>
  </si>
  <si>
    <t>9301012</t>
  </si>
  <si>
    <t>Public Opinion Surveys</t>
  </si>
  <si>
    <t>%,V9301014</t>
  </si>
  <si>
    <t>9301014</t>
  </si>
  <si>
    <t>Video Communications</t>
  </si>
  <si>
    <t>%,V9301015</t>
  </si>
  <si>
    <t>9301015</t>
  </si>
  <si>
    <t>Other Corporate Comm Exp</t>
  </si>
  <si>
    <t>%,V9302000</t>
  </si>
  <si>
    <t>9302000</t>
  </si>
  <si>
    <t>Misc General Expenses</t>
  </si>
  <si>
    <t>%,V9302003</t>
  </si>
  <si>
    <t>9302003</t>
  </si>
  <si>
    <t>Corporate &amp; Fiscal Expenses</t>
  </si>
  <si>
    <t>%,V9302004</t>
  </si>
  <si>
    <t>9302004</t>
  </si>
  <si>
    <t>Research, Develop&amp;Demonstr Exp</t>
  </si>
  <si>
    <t>%,V9302006</t>
  </si>
  <si>
    <t>9302006</t>
  </si>
  <si>
    <t>Assoc Bus Dev - Materials Sold</t>
  </si>
  <si>
    <t>%,V9302007</t>
  </si>
  <si>
    <t>9302007</t>
  </si>
  <si>
    <t>Assoc Business Development Exp</t>
  </si>
  <si>
    <t>%,V9302458</t>
  </si>
  <si>
    <t>9302458</t>
  </si>
  <si>
    <t>AEPSC Non Affliated expenses</t>
  </si>
  <si>
    <t>%,V9310000</t>
  </si>
  <si>
    <t>9310000</t>
  </si>
  <si>
    <t>Rents</t>
  </si>
  <si>
    <t>%,V9310001</t>
  </si>
  <si>
    <t>9310001</t>
  </si>
  <si>
    <t>Rents - Real Property</t>
  </si>
  <si>
    <t>%,V9310002</t>
  </si>
  <si>
    <t>9310002</t>
  </si>
  <si>
    <t>Rents - Personal Property</t>
  </si>
  <si>
    <t>%,FACCOUNT,TGL_FERC_ACCT,XDYYNNY01,N920-933</t>
  </si>
  <si>
    <t>Administration &amp; General Operations</t>
  </si>
  <si>
    <t>Line 4</t>
  </si>
  <si>
    <t>Operating Expenses (401)</t>
  </si>
  <si>
    <t/>
  </si>
  <si>
    <t>%,V5100000</t>
  </si>
  <si>
    <t>5100000</t>
  </si>
  <si>
    <t>Maint Supv &amp; Engineering</t>
  </si>
  <si>
    <t>%,V5110000</t>
  </si>
  <si>
    <t>5110000</t>
  </si>
  <si>
    <t>Maintenance of Structures</t>
  </si>
  <si>
    <t>%,V5120000</t>
  </si>
  <si>
    <t>5120000</t>
  </si>
  <si>
    <t>Maintenance of Boiler Plant</t>
  </si>
  <si>
    <t>%,V5120003</t>
  </si>
  <si>
    <t>5120003</t>
  </si>
  <si>
    <t>%,V5120025</t>
  </si>
  <si>
    <t>5120025</t>
  </si>
  <si>
    <t>Maint of Blr Plt Environmental</t>
  </si>
  <si>
    <t>%,V5120034</t>
  </si>
  <si>
    <t>5120034</t>
  </si>
  <si>
    <t>BSRR O/U Recovery-Maint Costs</t>
  </si>
  <si>
    <t>%,V5120035</t>
  </si>
  <si>
    <t>5120035</t>
  </si>
  <si>
    <t>BS1OR O/U Recovery-Maint Costs</t>
  </si>
  <si>
    <t>%,V5130000</t>
  </si>
  <si>
    <t>5130000</t>
  </si>
  <si>
    <t>Maintenance of Electric Plant</t>
  </si>
  <si>
    <t>%,V5140000</t>
  </si>
  <si>
    <t>5140000</t>
  </si>
  <si>
    <t>Maintenance of Misc Steam Plt</t>
  </si>
  <si>
    <t>%,FACCOUNT,TGL_FERC_ACCT,XDYYNNY01,N510-515</t>
  </si>
  <si>
    <t>Steam Plant Maintenance</t>
  </si>
  <si>
    <t>%,V5280000</t>
  </si>
  <si>
    <t>5280000</t>
  </si>
  <si>
    <t>%,FACCOUNT,TGL_FERC_ACCT,XDYYNNY01,N528-533</t>
  </si>
  <si>
    <t>Nuclear Plant Maintenance</t>
  </si>
  <si>
    <t>%,FACCOUNT,TGL_FERC_ACCT,XDYYNNY01,N541-545</t>
  </si>
  <si>
    <t>Hydraulic Plant Maintenance</t>
  </si>
  <si>
    <t>%,V5530001</t>
  </si>
  <si>
    <t>5530001</t>
  </si>
  <si>
    <t>Maint of Gen Plant - Gas Turb</t>
  </si>
  <si>
    <t>%,FACCOUNT,TGL_FERC_ACCT,XDYYNNY01,N551-554</t>
  </si>
  <si>
    <t>Other Power Plant Maintenance</t>
  </si>
  <si>
    <t>%,FACCOUNT,TGL_FERC_ACCT,XDYYNNY01,N402_MAINTENANCE</t>
  </si>
  <si>
    <t>402 Maintenance Expense</t>
  </si>
  <si>
    <t>%,V5680000</t>
  </si>
  <si>
    <t>5680000</t>
  </si>
  <si>
    <t>%,V5690000</t>
  </si>
  <si>
    <t>5690000</t>
  </si>
  <si>
    <t>%,V5691000</t>
  </si>
  <si>
    <t>5691000</t>
  </si>
  <si>
    <t>Maint of Computer Hardware</t>
  </si>
  <si>
    <t>%,V5692000</t>
  </si>
  <si>
    <t>5692000</t>
  </si>
  <si>
    <t>Maint of Computer Software</t>
  </si>
  <si>
    <t>%,V5693000</t>
  </si>
  <si>
    <t>5693000</t>
  </si>
  <si>
    <t>Maint of Communication Equip</t>
  </si>
  <si>
    <t>%,V5700000</t>
  </si>
  <si>
    <t>5700000</t>
  </si>
  <si>
    <t>Maint of Station Equipment</t>
  </si>
  <si>
    <t>%,V5710000</t>
  </si>
  <si>
    <t>5710000</t>
  </si>
  <si>
    <t>Maintenance of Overhead Lines</t>
  </si>
  <si>
    <t>%,V5720000</t>
  </si>
  <si>
    <t>5720000</t>
  </si>
  <si>
    <t>Maint of Underground Lines</t>
  </si>
  <si>
    <t>%,V5720001</t>
  </si>
  <si>
    <t>5720001</t>
  </si>
  <si>
    <t>CnstrSrchrgeMaintUndrgrndLines</t>
  </si>
  <si>
    <t>%,V5730000</t>
  </si>
  <si>
    <t>5730000</t>
  </si>
  <si>
    <t>Maint of Misc Trnsmssion Plt</t>
  </si>
  <si>
    <t>%,FACCOUNT,TGL_FERC_ACCT,XDYYNNY01,N568-574</t>
  </si>
  <si>
    <t>Transmission Maintenance</t>
  </si>
  <si>
    <t>%,V5900000</t>
  </si>
  <si>
    <t>5900000</t>
  </si>
  <si>
    <t>%,V5910000</t>
  </si>
  <si>
    <t>5910000</t>
  </si>
  <si>
    <t>%,V5920000</t>
  </si>
  <si>
    <t>5920000</t>
  </si>
  <si>
    <t>%,V5930000</t>
  </si>
  <si>
    <t>5930000</t>
  </si>
  <si>
    <t>%,V5930001</t>
  </si>
  <si>
    <t>5930001</t>
  </si>
  <si>
    <t>Tree and Brush Control</t>
  </si>
  <si>
    <t>%,V5930008</t>
  </si>
  <si>
    <t>5930008</t>
  </si>
  <si>
    <t>Maint Ovh Lines Strm Exp-OvUnd</t>
  </si>
  <si>
    <t>%,V5930010</t>
  </si>
  <si>
    <t>5930010</t>
  </si>
  <si>
    <t>Storm Expense Amortization</t>
  </si>
  <si>
    <t>%,V5940000</t>
  </si>
  <si>
    <t>5940000</t>
  </si>
  <si>
    <t>%,V5950000</t>
  </si>
  <si>
    <t>5950000</t>
  </si>
  <si>
    <t>Maint of Lne Trnf,Rglators&amp;Dvi</t>
  </si>
  <si>
    <t>%,V5960000</t>
  </si>
  <si>
    <t>5960000</t>
  </si>
  <si>
    <t>Maint of Strt Lghtng &amp; Sgnal S</t>
  </si>
  <si>
    <t>%,V5970000</t>
  </si>
  <si>
    <t>5970000</t>
  </si>
  <si>
    <t>Maintenance of Meters</t>
  </si>
  <si>
    <t>%,V5980000</t>
  </si>
  <si>
    <t>5980000</t>
  </si>
  <si>
    <t>Maint of Misc Distribution Plt</t>
  </si>
  <si>
    <t>%,FACCOUNT,TGL_FERC_ACCT,XDYYNNY01,N590-599</t>
  </si>
  <si>
    <t>Distribution Maintenance</t>
  </si>
  <si>
    <t>%,FACCOUNT,TGL_FERC_ACCT,XDYYNNY01,N830-837,N861-870</t>
  </si>
  <si>
    <t>Gas Maintenance</t>
  </si>
  <si>
    <t>%,V9350000</t>
  </si>
  <si>
    <t>9350000</t>
  </si>
  <si>
    <t>Maintenance of General Plant</t>
  </si>
  <si>
    <t>%,V9350001</t>
  </si>
  <si>
    <t>9350001</t>
  </si>
  <si>
    <t>Maint of Structures - Owned</t>
  </si>
  <si>
    <t>%,V9350002</t>
  </si>
  <si>
    <t>9350002</t>
  </si>
  <si>
    <t>Maint of Structures - Leased</t>
  </si>
  <si>
    <t>%,V9350012</t>
  </si>
  <si>
    <t>9350012</t>
  </si>
  <si>
    <t>Maint of Data Equipment</t>
  </si>
  <si>
    <t>%,V9350013</t>
  </si>
  <si>
    <t>9350013</t>
  </si>
  <si>
    <t>Maint of Cmmncation Eq-Unall</t>
  </si>
  <si>
    <t>%,V9350015</t>
  </si>
  <si>
    <t>9350015</t>
  </si>
  <si>
    <t>Maint of Office Furniture &amp; Eq</t>
  </si>
  <si>
    <t>%,V9350016</t>
  </si>
  <si>
    <t>9350016</t>
  </si>
  <si>
    <t>Maintenance of Video Equipment</t>
  </si>
  <si>
    <t>%,V9350019</t>
  </si>
  <si>
    <t>9350019</t>
  </si>
  <si>
    <t>Maint of Gen Plant-SCADA Equ</t>
  </si>
  <si>
    <t>%,V9350024</t>
  </si>
  <si>
    <t>9350024</t>
  </si>
  <si>
    <t>Maint of DA-AMI Comm Equip</t>
  </si>
  <si>
    <t>%,FACCOUNT,TGL_FERC_ACCT,XDYYNNY01,N935</t>
  </si>
  <si>
    <t>Adminstration &amp; General Maintenance</t>
  </si>
  <si>
    <t>Line 5</t>
  </si>
  <si>
    <t>Maintenance Expenses (402)</t>
  </si>
  <si>
    <t>%,V4030001</t>
  </si>
  <si>
    <t>Depreciation Exp</t>
  </si>
  <si>
    <t>%,FACCOUNT,TGL_FERC_ACCT,XDYYNNY01,NDEPR_EXP_OTHER,NDEPR_EXP_REG,NSTP_NUCLEAR_DECOMM</t>
  </si>
  <si>
    <t>Line 6</t>
  </si>
  <si>
    <t>Depreciation Expense (403)</t>
  </si>
  <si>
    <t>%,V4031001</t>
  </si>
  <si>
    <t>4031001</t>
  </si>
  <si>
    <t>Depr - Asset Retirement Oblig</t>
  </si>
  <si>
    <t>%,FACCOUNT,TGL_FERC_ACCT,XDYYNNY01,NDEPR_EXP_ARO</t>
  </si>
  <si>
    <t>Line 7</t>
  </si>
  <si>
    <t>Depreciation Expense for Asset Retirement Costs (403.1)</t>
  </si>
  <si>
    <t>%,V4040001</t>
  </si>
  <si>
    <t>4040001</t>
  </si>
  <si>
    <t>Amort. of Plant</t>
  </si>
  <si>
    <t>%,FACCOUNT,TGL_FERC_ACCT,XDYYNNY01,NAMORT_&amp;_DEPL_OF_PLT</t>
  </si>
  <si>
    <t>Line 8</t>
  </si>
  <si>
    <t>Amort. &amp; Depl. Of Utility Plant (404-405)</t>
  </si>
  <si>
    <t>%,V4060001</t>
  </si>
  <si>
    <t>4060001</t>
  </si>
  <si>
    <t>Amort of Plt Acq Adj</t>
  </si>
  <si>
    <t>%,FACCOUNT,TGL_FERC_ACCT,XDYYNNY01,N406</t>
  </si>
  <si>
    <t>Line 9</t>
  </si>
  <si>
    <t>Amort. Of Utility Plant Acq. Adj. (406)</t>
  </si>
  <si>
    <t>%,FACCOUNT,TGL_FERC_ACCT,XDYYNNY01,N407</t>
  </si>
  <si>
    <t>Line 10</t>
  </si>
  <si>
    <t>Amort. Property Losses, Unrecov Plant and Regulatory Study Costs (407)</t>
  </si>
  <si>
    <t>Line 11</t>
  </si>
  <si>
    <t>Amort. Of Conversion Expenses (407)</t>
  </si>
  <si>
    <t>%,V4073000</t>
  </si>
  <si>
    <t>4073000</t>
  </si>
  <si>
    <t>Regulatory Debits</t>
  </si>
  <si>
    <t>%,V4073014</t>
  </si>
  <si>
    <t>4073014</t>
  </si>
  <si>
    <t>Regulatory Debit - BSRR</t>
  </si>
  <si>
    <t>%,FACCOUNT,TGL_FERC_ACCT,XDYYNNY01,N4073</t>
  </si>
  <si>
    <t>Line 12</t>
  </si>
  <si>
    <t>Regulatory Debits (407.3)</t>
  </si>
  <si>
    <t>%,R,FACCOUNT,TGL_FERC_ACCT,XDYYNNY01,N4074</t>
  </si>
  <si>
    <t>Line 13</t>
  </si>
  <si>
    <t>(Less) Regulatory Credits (407.4)</t>
  </si>
  <si>
    <t>%,V4081002</t>
  </si>
  <si>
    <t>4081002</t>
  </si>
  <si>
    <t>FICA</t>
  </si>
  <si>
    <t>%,V4081003</t>
  </si>
  <si>
    <t>4081003</t>
  </si>
  <si>
    <t>Federal Unemployment Tax</t>
  </si>
  <si>
    <t>%,V408100512</t>
  </si>
  <si>
    <t>408100512</t>
  </si>
  <si>
    <t>Real Personal Property Taxes</t>
  </si>
  <si>
    <t>%,V408100513</t>
  </si>
  <si>
    <t>408100513</t>
  </si>
  <si>
    <t>%,V408100514</t>
  </si>
  <si>
    <t>408100514</t>
  </si>
  <si>
    <t>%,V408100515</t>
  </si>
  <si>
    <t>%,V408100516</t>
  </si>
  <si>
    <t>408100516</t>
  </si>
  <si>
    <t>%,V408100609</t>
  </si>
  <si>
    <t>408100609</t>
  </si>
  <si>
    <t>State Gross Receipts Tax</t>
  </si>
  <si>
    <t>%,V408100614</t>
  </si>
  <si>
    <t>408100614</t>
  </si>
  <si>
    <t>%,V408100615</t>
  </si>
  <si>
    <t>408100615</t>
  </si>
  <si>
    <t>%,V408100616</t>
  </si>
  <si>
    <t>408100616</t>
  </si>
  <si>
    <t>%,V408100617</t>
  </si>
  <si>
    <t>408100617</t>
  </si>
  <si>
    <t>%,V4081007</t>
  </si>
  <si>
    <t>4081007</t>
  </si>
  <si>
    <t>State Unemployment Tax</t>
  </si>
  <si>
    <t>%,V408100814</t>
  </si>
  <si>
    <t>408100814</t>
  </si>
  <si>
    <t>State Franchise Taxes</t>
  </si>
  <si>
    <t>%,V408100815</t>
  </si>
  <si>
    <t>408100815</t>
  </si>
  <si>
    <t>%,V408101414</t>
  </si>
  <si>
    <t>408101414</t>
  </si>
  <si>
    <t>Federal Excise Taxes</t>
  </si>
  <si>
    <t>%,V408101415</t>
  </si>
  <si>
    <t>408101415</t>
  </si>
  <si>
    <t>%,V408101416</t>
  </si>
  <si>
    <t>408101416</t>
  </si>
  <si>
    <t>%,V408101715</t>
  </si>
  <si>
    <t>408101715</t>
  </si>
  <si>
    <t>St Lic-Rgstrtion Tax-Fees</t>
  </si>
  <si>
    <t>%,V408101716</t>
  </si>
  <si>
    <t>408101716</t>
  </si>
  <si>
    <t>%,V408101814</t>
  </si>
  <si>
    <t>408101814</t>
  </si>
  <si>
    <t>St Publ Serv Comm Tax-Fees</t>
  </si>
  <si>
    <t>%,V408101815</t>
  </si>
  <si>
    <t>408101815</t>
  </si>
  <si>
    <t>%,V408101816</t>
  </si>
  <si>
    <t>408101816</t>
  </si>
  <si>
    <t>%,V408101914</t>
  </si>
  <si>
    <t>408101914</t>
  </si>
  <si>
    <t>State Sales and Use Taxes</t>
  </si>
  <si>
    <t>%,V408101915</t>
  </si>
  <si>
    <t>408101915</t>
  </si>
  <si>
    <t>%,V408101916</t>
  </si>
  <si>
    <t>408101916</t>
  </si>
  <si>
    <t>%,V408101917</t>
  </si>
  <si>
    <t>408101917</t>
  </si>
  <si>
    <t>%,V408102014</t>
  </si>
  <si>
    <t>408102014</t>
  </si>
  <si>
    <t>State Business Occup Taxes</t>
  </si>
  <si>
    <t>%,V408102015</t>
  </si>
  <si>
    <t>408102015</t>
  </si>
  <si>
    <t>%,V408102016</t>
  </si>
  <si>
    <t>408102016</t>
  </si>
  <si>
    <t>%,V408102017</t>
  </si>
  <si>
    <t>408102017</t>
  </si>
  <si>
    <t>%,V408102215</t>
  </si>
  <si>
    <t>408102215</t>
  </si>
  <si>
    <t>Municipal License Fees</t>
  </si>
  <si>
    <t>%,V408102216</t>
  </si>
  <si>
    <t>408102216</t>
  </si>
  <si>
    <t>%,V408102217</t>
  </si>
  <si>
    <t>408102217</t>
  </si>
  <si>
    <t>%,V408102914</t>
  </si>
  <si>
    <t>408102914</t>
  </si>
  <si>
    <t>Real-Pers Prop Tax-Cap Leases</t>
  </si>
  <si>
    <t>%,V408102915</t>
  </si>
  <si>
    <t>408102915</t>
  </si>
  <si>
    <t>%,V408102916</t>
  </si>
  <si>
    <t>408102916</t>
  </si>
  <si>
    <t>%,V408102917</t>
  </si>
  <si>
    <t>408102917</t>
  </si>
  <si>
    <t>%,V4081033</t>
  </si>
  <si>
    <t>4081033</t>
  </si>
  <si>
    <t>Fringe Benefit Loading - FICA</t>
  </si>
  <si>
    <t>%,V4081034</t>
  </si>
  <si>
    <t>4081034</t>
  </si>
  <si>
    <t>Fringe Benefit Loading - FUT</t>
  </si>
  <si>
    <t>%,V4081035</t>
  </si>
  <si>
    <t>4081035</t>
  </si>
  <si>
    <t>Fringe Benefit Loading - SUT</t>
  </si>
  <si>
    <t>%,V408103614</t>
  </si>
  <si>
    <t>408103614</t>
  </si>
  <si>
    <t>Real Prop Tax-Cap Leases</t>
  </si>
  <si>
    <t>%,V408103615</t>
  </si>
  <si>
    <t>408103615</t>
  </si>
  <si>
    <t>%,V408103616</t>
  </si>
  <si>
    <t>408103616</t>
  </si>
  <si>
    <t>%,V408103617</t>
  </si>
  <si>
    <t>408103617</t>
  </si>
  <si>
    <t>%,FACCOUNT,TGL_FERC_ACCT,XDYYNNY01,N408</t>
  </si>
  <si>
    <t>Line 14</t>
  </si>
  <si>
    <t>Taxes Other Than Income Taxes (408.1)</t>
  </si>
  <si>
    <t>%,V4091001</t>
  </si>
  <si>
    <t>4091001</t>
  </si>
  <si>
    <t>Income Taxes, UOI - Federal</t>
  </si>
  <si>
    <t>%,FACCOUNT,TGL_FERC_ACCT,XDYYNNY01,NINCOME_TAXES_FEDERAL</t>
  </si>
  <si>
    <t>Income Taxes Federal</t>
  </si>
  <si>
    <t>%,V4265009</t>
  </si>
  <si>
    <t>4265009</t>
  </si>
  <si>
    <t>Factored Cust A/R Exp - Affil</t>
  </si>
  <si>
    <t>%,V4265010</t>
  </si>
  <si>
    <t>4265010</t>
  </si>
  <si>
    <t>Fact Cust A/R-Bad Debts-Affil</t>
  </si>
  <si>
    <t>%,FACCOUNT,TGL_FERC_ACCT,XDYYNNY01,NMISC_INC_DED_FAR</t>
  </si>
  <si>
    <t>Factored Accounts Rec Expenses</t>
  </si>
  <si>
    <t>Tax Effect on Factored Accounts Rec Expenses</t>
  </si>
  <si>
    <t>Line 15</t>
  </si>
  <si>
    <t>Income Taxes - Federal (409.1)</t>
  </si>
  <si>
    <t>%,V409100211</t>
  </si>
  <si>
    <t>409100211</t>
  </si>
  <si>
    <t>Income Taxes UOI - State</t>
  </si>
  <si>
    <t>%,V409100212</t>
  </si>
  <si>
    <t>409100212</t>
  </si>
  <si>
    <t>%,V409100214</t>
  </si>
  <si>
    <t>409100214</t>
  </si>
  <si>
    <t>%,V409100215</t>
  </si>
  <si>
    <t>409100215</t>
  </si>
  <si>
    <t>%,V409100216</t>
  </si>
  <si>
    <t>409100216</t>
  </si>
  <si>
    <t>%,V409100217</t>
  </si>
  <si>
    <t>409100217</t>
  </si>
  <si>
    <t>%,FACCOUNT,TGL_FERC_ACCT,XDYYNNY01,NINCOME_TAXES_OTHER</t>
  </si>
  <si>
    <t>Line 16</t>
  </si>
  <si>
    <t>Income Taxes - Other (409.1)</t>
  </si>
  <si>
    <t>%,V4101001</t>
  </si>
  <si>
    <t>4101001</t>
  </si>
  <si>
    <t>Prov Def I/T Util Op Inc-Fed</t>
  </si>
  <si>
    <t>%,V4101002</t>
  </si>
  <si>
    <t>4101002</t>
  </si>
  <si>
    <t>Prov Def I/T Util Op Inc-State</t>
  </si>
  <si>
    <t>%,FACCOUNT,TGL_FERC_ACCT,XDYYNNY01,NDEFER_FIT</t>
  </si>
  <si>
    <t>Line 17</t>
  </si>
  <si>
    <t>Provision for Deferred Income Taxes (410.1)</t>
  </si>
  <si>
    <t>%,V4111001</t>
  </si>
  <si>
    <t>4111001</t>
  </si>
  <si>
    <t>Prv Def I/T-Cr Util Op Inc-Fed</t>
  </si>
  <si>
    <t>%,V4111002</t>
  </si>
  <si>
    <t>4111002</t>
  </si>
  <si>
    <t>Prv Def I/T-Cr UtilOpInc-State</t>
  </si>
  <si>
    <t>%,R,FACCOUNT,TGL_FERC_ACCT,XDYYNNY01,NPROV_DEFER_FIT,</t>
  </si>
  <si>
    <t>Line 18</t>
  </si>
  <si>
    <t>(Less) Provision for Deferred Income Taxes-Cr (411.1)</t>
  </si>
  <si>
    <t>%,V4114001</t>
  </si>
  <si>
    <t>4114001</t>
  </si>
  <si>
    <t>ITC Adj, Utility Oper - Fed</t>
  </si>
  <si>
    <t>%,FACCOUNT,TGL_FERC_ACCT,XDYYNNY01,NDEFRRD_ITC_UTIL_OPER</t>
  </si>
  <si>
    <t>Line 19</t>
  </si>
  <si>
    <t>Investment Tax Credit Adj. - Net (411.4)</t>
  </si>
  <si>
    <t>%,V4116000</t>
  </si>
  <si>
    <t>4116000</t>
  </si>
  <si>
    <t>Gain From Disposition of Plant</t>
  </si>
  <si>
    <t>%,R,FACCOUNT,TGL_FERC_ACCT,XDYYNNY01,NGN_FRM_DISP_UT_PLT</t>
  </si>
  <si>
    <t>Line 20</t>
  </si>
  <si>
    <t>(Less) Gains from Disp. Of Utility Plant (411.6)</t>
  </si>
  <si>
    <t>%,FACCOUNT,TGL_FERC_ACCT,XDYYNNY01,NLSES_FRM_DISP_UT_PLT</t>
  </si>
  <si>
    <t>Line 21</t>
  </si>
  <si>
    <t>Losses from Disp. Of Utility Plant (411.7)</t>
  </si>
  <si>
    <t>%,V4118002</t>
  </si>
  <si>
    <t>4118002</t>
  </si>
  <si>
    <t>Comp. Allow Gains Title IV SO2</t>
  </si>
  <si>
    <t>%,V4118006</t>
  </si>
  <si>
    <t>4118006</t>
  </si>
  <si>
    <t>CSAPR SO2 Gains</t>
  </si>
  <si>
    <t>%,V4118008</t>
  </si>
  <si>
    <t>4118008</t>
  </si>
  <si>
    <t>Comp Allow Gain CSAPR Seas NOx</t>
  </si>
  <si>
    <t>%,V4118009</t>
  </si>
  <si>
    <t>4118009</t>
  </si>
  <si>
    <t>Comp Allow Gains CSAPR An NOx</t>
  </si>
  <si>
    <t>%,V4118010</t>
  </si>
  <si>
    <t>%,R,FACCOUNT,TGL_FERC_ACCT,XDYYNNY01,NGN_FRM_DISP_ALLOWAN</t>
  </si>
  <si>
    <t>Line 22</t>
  </si>
  <si>
    <t>(Less) Gains from Disposition of Allowances (411.8)</t>
  </si>
  <si>
    <t>%,FACCOUNT,TGL_FERC_ACCT,XDYYNNY01,NLOSS_FRM_DISP_ALLOW</t>
  </si>
  <si>
    <t>Line 23</t>
  </si>
  <si>
    <t>Losses from Disposition of Allowances (411.9)</t>
  </si>
  <si>
    <t>%,V4111005</t>
  </si>
  <si>
    <t>4111005</t>
  </si>
  <si>
    <t>Accretion Expense</t>
  </si>
  <si>
    <t>%,FACCOUNT,TGL_FERC_ACCT,XDYYNNY01,NACCRETION</t>
  </si>
  <si>
    <t>Line 24</t>
  </si>
  <si>
    <t>Accretion Expense (411.10)</t>
  </si>
  <si>
    <t>Line 25</t>
  </si>
  <si>
    <t>TOTAL Utility Operating Expenses (Enter Total of lines 4 thru 24)</t>
  </si>
  <si>
    <t>Line 26</t>
  </si>
  <si>
    <t>Net Util Oper Inc (Enter Tot. line 2 less 25) Carry to Pg 117, line 27</t>
  </si>
  <si>
    <t>Line 27</t>
  </si>
  <si>
    <t>Net Util Oper Inc (Carried FORWARD FROM PAGE 114)</t>
  </si>
  <si>
    <t>Line 28</t>
  </si>
  <si>
    <t>Other Income and Deductions</t>
  </si>
  <si>
    <t>Line 29</t>
  </si>
  <si>
    <t>Other Income</t>
  </si>
  <si>
    <t>Line 30</t>
  </si>
  <si>
    <t>Nonutility Operating Income</t>
  </si>
  <si>
    <t>%,R,FACCOUNT,TGL_FERC_ACCT,XDYYNNY01,N415</t>
  </si>
  <si>
    <t>Line 31</t>
  </si>
  <si>
    <t>Revenues From Merchandising, Jobbing &amp; Contract Work (415)</t>
  </si>
  <si>
    <t>%,FACCOUNT,TGL_FERC_ACCT,XDYYNNY01,N416</t>
  </si>
  <si>
    <t>Line 32</t>
  </si>
  <si>
    <t>(Less) Costs and Exp. Merchandising, Job. &amp; Contract Work (416)</t>
  </si>
  <si>
    <t>%,V4170004</t>
  </si>
  <si>
    <t>4170004</t>
  </si>
  <si>
    <t>Rev from Non-Util Oper NonAfil</t>
  </si>
  <si>
    <t>%,R,FACCOUNT,TGL_FERC_ACCT,XDYYNNY01,NREV_NONUTIL_OPS</t>
  </si>
  <si>
    <t>Line 33</t>
  </si>
  <si>
    <t>Revenues From Nonutility Operations (417)</t>
  </si>
  <si>
    <t>%,V4171001</t>
  </si>
  <si>
    <t>4171001</t>
  </si>
  <si>
    <t>Exp of NonUtil Oper - Nonassoc</t>
  </si>
  <si>
    <t>%,FACCOUNT,TGL_FERC_ACCT,XDYYNNY01,NEXP_NONUTIL_OPS</t>
  </si>
  <si>
    <t>Line 34</t>
  </si>
  <si>
    <t>(Less) Expenses of Nonutility Operations (417.1)</t>
  </si>
  <si>
    <t>%,V4180001</t>
  </si>
  <si>
    <t>4180001</t>
  </si>
  <si>
    <t>Non-Operatng Rental Income</t>
  </si>
  <si>
    <t>%,V4180003</t>
  </si>
  <si>
    <t>4180003</t>
  </si>
  <si>
    <t>Non-Opratng Rntal Inc-Maint</t>
  </si>
  <si>
    <t>%,V4180005</t>
  </si>
  <si>
    <t>4180005</t>
  </si>
  <si>
    <t>Non-Opratng Rntal Inc-Depr</t>
  </si>
  <si>
    <t>%,R,FACCOUNT,TGL_FERC_ACCT,XDYYNNY01,NNON_OP_RENTAL_INCOME</t>
  </si>
  <si>
    <t>Line 35</t>
  </si>
  <si>
    <t>Nonoperating Rental Income (418)</t>
  </si>
  <si>
    <t>%,R,FACCOUNT,TGL_FERC_ACCT,XDYYNNY01,NEQUITY_IN_SUB_EARN</t>
  </si>
  <si>
    <t>Line 36</t>
  </si>
  <si>
    <t>Equity in Earnings of Subsidiary Companies (418.1)</t>
  </si>
  <si>
    <t>%,V4190002</t>
  </si>
  <si>
    <t>4190002</t>
  </si>
  <si>
    <t>Int &amp; Dividend Inc - Nonassoc</t>
  </si>
  <si>
    <t>%,V4190005</t>
  </si>
  <si>
    <t>4190005</t>
  </si>
  <si>
    <t>Interest Income - Assoc CBP</t>
  </si>
  <si>
    <t>%,R,FACCOUNT,TGL_FERC_ACCT,XDYYNNY01,NINTEREST_INCOME</t>
  </si>
  <si>
    <t>Line 37</t>
  </si>
  <si>
    <t>Interest and Dividend Income (419)</t>
  </si>
  <si>
    <t>%,V4191000</t>
  </si>
  <si>
    <t>4191000</t>
  </si>
  <si>
    <t>Allw Oth Fnds Usd Drng Cnstr</t>
  </si>
  <si>
    <t>%,R,FACCOUNT,TGL_FERC_ACCT,XDYYNNY01,NAFUDC_OTH_FUNDS-CR</t>
  </si>
  <si>
    <t>Line 38</t>
  </si>
  <si>
    <t>Allowance for Other Funds Used During Construction (419.1)</t>
  </si>
  <si>
    <t>%,V4210002</t>
  </si>
  <si>
    <t>4210002</t>
  </si>
  <si>
    <t>Misc Non-Op Inc-NonAsc-Rents</t>
  </si>
  <si>
    <t>%,V4210005</t>
  </si>
  <si>
    <t>4210005</t>
  </si>
  <si>
    <t>Misc Non-Op Inc-NonAsc-Timber</t>
  </si>
  <si>
    <t>%,V4210007</t>
  </si>
  <si>
    <t>4210007</t>
  </si>
  <si>
    <t>Misc Non-Op Inc - NonAsc - Oth</t>
  </si>
  <si>
    <t>%,V4210009</t>
  </si>
  <si>
    <t>4210009</t>
  </si>
  <si>
    <t>Misc Non-Op Exp - NonAssoc</t>
  </si>
  <si>
    <t>%,V4210032</t>
  </si>
  <si>
    <t>4210032</t>
  </si>
  <si>
    <t>Pwr Purch Outside Svc Territry</t>
  </si>
  <si>
    <t>%,V4210039</t>
  </si>
  <si>
    <t>4210039</t>
  </si>
  <si>
    <t>Carrying Charges</t>
  </si>
  <si>
    <t>%,R,FACCOUNT,TGL_FERC_ACCT,XDYYNNY01,NMISC_NONOP_INC</t>
  </si>
  <si>
    <t>Line 39</t>
  </si>
  <si>
    <t>Miscellaneous Nonoperating Income (421)</t>
  </si>
  <si>
    <t>%,R,FACCOUNT,TGL_FERC_ACCT,XDYYNNY01,NGAIN_ON_DIST_PROPERT</t>
  </si>
  <si>
    <t>Line 40</t>
  </si>
  <si>
    <t>Gain on Disposition of Property (421.1)</t>
  </si>
  <si>
    <t>Line 41</t>
  </si>
  <si>
    <t>TOTAL Other Income (Enter Total of lines 31 thru 40)</t>
  </si>
  <si>
    <t>Line 42</t>
  </si>
  <si>
    <t>Other Income Deductions</t>
  </si>
  <si>
    <t>%,V4212000</t>
  </si>
  <si>
    <t>4212000</t>
  </si>
  <si>
    <t>Loss on Dspsition of Property</t>
  </si>
  <si>
    <t>%,FACCOUNT,TGL_FERC_ACCT,XDYYNNY01,NLOSS_DIST_PROPERTY</t>
  </si>
  <si>
    <t>Line 43</t>
  </si>
  <si>
    <t>Loss on Disposition of Property (421.2)</t>
  </si>
  <si>
    <t>%,FACCOUNT,TGL_FERC_ACCT,XDYYNNY01,NMISC_AMORT_PLT_ADJ</t>
  </si>
  <si>
    <t>Line 44</t>
  </si>
  <si>
    <t>Miscellaneous Amortization (425)</t>
  </si>
  <si>
    <t>%,V4261000</t>
  </si>
  <si>
    <t>4261000</t>
  </si>
  <si>
    <t>Donations</t>
  </si>
  <si>
    <t>%,FACCOUNT,TGL_FERC_ACCT,XDYYNNY01,N4261</t>
  </si>
  <si>
    <t>Line 45</t>
  </si>
  <si>
    <t>Donations (426.1)</t>
  </si>
  <si>
    <t>%,FACCOUNT,TGL_FERC_ACCT,XDYYNNY01,N4262</t>
  </si>
  <si>
    <t>Line 46</t>
  </si>
  <si>
    <t>Life Insurance (426.2)</t>
  </si>
  <si>
    <t>%,V4263001</t>
  </si>
  <si>
    <t>4263001</t>
  </si>
  <si>
    <t>Penalties</t>
  </si>
  <si>
    <t>%,V4263003</t>
  </si>
  <si>
    <t>4263003</t>
  </si>
  <si>
    <t>Penalties - Quality of Service</t>
  </si>
  <si>
    <t>%,FACCOUNT,TGL_FERC_ACCT,XDYYNNY01,N4263</t>
  </si>
  <si>
    <t>Line 47</t>
  </si>
  <si>
    <t>Penalties (426.3)</t>
  </si>
  <si>
    <t>%,V4264000</t>
  </si>
  <si>
    <t>4264000</t>
  </si>
  <si>
    <t>Civic &amp; Political Activities</t>
  </si>
  <si>
    <t>%,FACCOUNT,TGL_FERC_ACCT,XDYYNNY01,N4264</t>
  </si>
  <si>
    <t>Line 48</t>
  </si>
  <si>
    <t>Exp. For Certain Civic, Political &amp; Related Activities (426.4)</t>
  </si>
  <si>
    <t>%,V4265002</t>
  </si>
  <si>
    <t>4265002</t>
  </si>
  <si>
    <t>Other Deductions - Nonassoc</t>
  </si>
  <si>
    <t>%,V4265004</t>
  </si>
  <si>
    <t>4265004</t>
  </si>
  <si>
    <t>Social &amp; Service Club Dues</t>
  </si>
  <si>
    <t>%,V4265007</t>
  </si>
  <si>
    <t>4265007</t>
  </si>
  <si>
    <t>Regulatory Expenses</t>
  </si>
  <si>
    <t>%,V4265033</t>
  </si>
  <si>
    <t>4265033</t>
  </si>
  <si>
    <t>Transition Costs</t>
  </si>
  <si>
    <t>%,V4265054</t>
  </si>
  <si>
    <t>4265054</t>
  </si>
  <si>
    <t>Specul. Allow Loss-Seas NOx</t>
  </si>
  <si>
    <t>%,FACCOUNT,TGL_FERC_ACCT,XDYYNNY01,N4265</t>
  </si>
  <si>
    <t>Line 49</t>
  </si>
  <si>
    <t>Other Deductions (426.5)</t>
  </si>
  <si>
    <t>Line 50</t>
  </si>
  <si>
    <t>TOTAL Other Income Deductions(Total of lines 43 thru 49)</t>
  </si>
  <si>
    <t>Line 51</t>
  </si>
  <si>
    <t>Taxes Applic. To Other Income and Deductions</t>
  </si>
  <si>
    <t>%,V408200514</t>
  </si>
  <si>
    <t>408200514</t>
  </si>
  <si>
    <t>%,V408200515</t>
  </si>
  <si>
    <t>408200515</t>
  </si>
  <si>
    <t>%,V408200516</t>
  </si>
  <si>
    <t>408200516</t>
  </si>
  <si>
    <t>%,V408201415</t>
  </si>
  <si>
    <t>408201415</t>
  </si>
  <si>
    <t>St Lic-Registration Tax-Fees</t>
  </si>
  <si>
    <t>%,FACCOUNT,TGL_FERC_ACCT,XDYYNNY01,NTAXES_OTHER_THN_INC</t>
  </si>
  <si>
    <t>Line 52</t>
  </si>
  <si>
    <t>Taxes Other Than Income Taxes (408.2)</t>
  </si>
  <si>
    <t>%,V4092001</t>
  </si>
  <si>
    <t>4092001</t>
  </si>
  <si>
    <t>Inc Tax, Oth Inc&amp;Ded-Federal</t>
  </si>
  <si>
    <t>%,FACCOUNT,TGL_FERC_ACCT,XDYYNNY01,NINCOME_TAX_FED_NONOP</t>
  </si>
  <si>
    <t>Federal Income Taxes NonOperating</t>
  </si>
  <si>
    <t>Line 53</t>
  </si>
  <si>
    <t>Income Taxes - Federal (409.2)</t>
  </si>
  <si>
    <t>%,V409200214</t>
  </si>
  <si>
    <t>409200214</t>
  </si>
  <si>
    <t>Inc Tax Oth Inc Ded - State</t>
  </si>
  <si>
    <t>%,V409200215</t>
  </si>
  <si>
    <t>409200215</t>
  </si>
  <si>
    <t>Inc Tax Oth Inc  Ded - State</t>
  </si>
  <si>
    <t>%,V409200216</t>
  </si>
  <si>
    <t>409200216</t>
  </si>
  <si>
    <t>%,V409200217</t>
  </si>
  <si>
    <t>409200217</t>
  </si>
  <si>
    <t>%,FACCOUNT,TGL_FERC_ACCT,XDYYNNY01,NINCOME_TAX_OTH_NONOP</t>
  </si>
  <si>
    <t>Line 54</t>
  </si>
  <si>
    <t>Income Taxes - Other (409.2)</t>
  </si>
  <si>
    <t>%,V4102001</t>
  </si>
  <si>
    <t>4102001</t>
  </si>
  <si>
    <t>Prov Def I/T Oth I&amp;D - Federal</t>
  </si>
  <si>
    <t>%,FACCOUNT,TGL_FERC_ACCT,XDYYNNY01,NPROV_FOR_DEF_TAX_NON</t>
  </si>
  <si>
    <t>Line 55</t>
  </si>
  <si>
    <t>Provision for Deferred Inc. Taxes (410.2)</t>
  </si>
  <si>
    <t>%,V4112001</t>
  </si>
  <si>
    <t>4112001</t>
  </si>
  <si>
    <t>Prv Def I/T-Cr Oth I&amp;D-Fed</t>
  </si>
  <si>
    <t>%,R,FACCOUNT,TGL_FERC_ACCT,XDYYNNY01,NPROV_DEF_TX_NON_CR</t>
  </si>
  <si>
    <t>Line 56</t>
  </si>
  <si>
    <t xml:space="preserve">(Less) Provision for Deferred Income Taxes-Cr (411.2) </t>
  </si>
  <si>
    <t>%,FACCOUNT,TGL_FERC_ACCT,XDYYNNY01,NINVESTMENT_TAX</t>
  </si>
  <si>
    <t>Line 57</t>
  </si>
  <si>
    <t>Investment Tax Credit Adj.-Net (411.5)</t>
  </si>
  <si>
    <t>%,R,FACCOUNT,TGL_FERC_ACCT,XDYYNNY01,N420</t>
  </si>
  <si>
    <t>Line 58</t>
  </si>
  <si>
    <t>(Less) Investment Tax Credits (420)</t>
  </si>
  <si>
    <t>Line 59</t>
  </si>
  <si>
    <t>TOTAL Taxes on Other Income and Deductions (Total of lines 52-58)</t>
  </si>
  <si>
    <t>Line 60</t>
  </si>
  <si>
    <t>Net Other Income and Deductions (Total of lines 41, 50, 59)</t>
  </si>
  <si>
    <t>Line 61</t>
  </si>
  <si>
    <t xml:space="preserve">Interest Charges </t>
  </si>
  <si>
    <t>%,V4270002</t>
  </si>
  <si>
    <t>4270002</t>
  </si>
  <si>
    <t>Int on LTD - Install Pur Contr</t>
  </si>
  <si>
    <t>%,V4270005</t>
  </si>
  <si>
    <t>4270005</t>
  </si>
  <si>
    <t>Int on LTD - Other LTD</t>
  </si>
  <si>
    <t>%,V4270006</t>
  </si>
  <si>
    <t>4270006</t>
  </si>
  <si>
    <t>Int on LTD - Sen Unsec Notes</t>
  </si>
  <si>
    <t>%,FACCOUNT,TGL_FERC_ACCT,XDYYNNY01,NINT_LONG-TERM_DEBT</t>
  </si>
  <si>
    <t>Line 62</t>
  </si>
  <si>
    <t>Interest on Long-Term Debt (427)</t>
  </si>
  <si>
    <t>%,V4280002</t>
  </si>
  <si>
    <t>4280002</t>
  </si>
  <si>
    <t>Amrtz Debt Dscnt&amp;Exp-Instl Pur</t>
  </si>
  <si>
    <t>%,V4280003</t>
  </si>
  <si>
    <t>4280003</t>
  </si>
  <si>
    <t>Amrtz Debt Dscnt&amp;Exp-N/P</t>
  </si>
  <si>
    <t>%,V4280006</t>
  </si>
  <si>
    <t>4280006</t>
  </si>
  <si>
    <t>Amrtz Dscnt&amp;Exp-Sn Unsec Note</t>
  </si>
  <si>
    <t>%,FACCOUNT,TGL_FERC_ACCT,XDYYNNY01,NAMORT_DEBT_DISC&amp;EXP</t>
  </si>
  <si>
    <t>Line 63</t>
  </si>
  <si>
    <t>Amort. Of Debt Disc. And Expense (428)</t>
  </si>
  <si>
    <t>%,V4281004</t>
  </si>
  <si>
    <t>4281004</t>
  </si>
  <si>
    <t>Amrtz Loss Rcquired Debt-Dbnt</t>
  </si>
  <si>
    <t>%,FACCOUNT,TGL_FERC_ACCT,XDYYNNY01,NAMORT_LOSS_REACQ_DBT</t>
  </si>
  <si>
    <t>Line 64</t>
  </si>
  <si>
    <t>Amortization of Loss on Reacquired Debt (428.1)</t>
  </si>
  <si>
    <t>%,R,FACCOUNT,TGL_FERC_ACCT,XDYYNNY01,NAMORT_DBT_PREM</t>
  </si>
  <si>
    <t>Line 65</t>
  </si>
  <si>
    <t>(Less) Amort. Of Premium on Debt-Credit (429)</t>
  </si>
  <si>
    <t>%,R,FACCOUNT,TGL_FERC_ACCT,XDYYNNY01,NAMORT_GAIN_REAQUIRED</t>
  </si>
  <si>
    <t>Line 66</t>
  </si>
  <si>
    <t>(Less) Amortization of Gain on Reacquired Debt-Credit (429.1)</t>
  </si>
  <si>
    <t>%,V4300003</t>
  </si>
  <si>
    <t>4300003</t>
  </si>
  <si>
    <t>Int to Assoc Co - CBP</t>
  </si>
  <si>
    <t>%,FACCOUNT,TGL_FERC_ACCT,XDYYNNY01,NINTEREST_ASSOC_COS</t>
  </si>
  <si>
    <t>Line 67</t>
  </si>
  <si>
    <t>Interest on Debt to Assoc. Companies (430)</t>
  </si>
  <si>
    <t>%,V4310001</t>
  </si>
  <si>
    <t>4310001</t>
  </si>
  <si>
    <t>Other Interest Expense</t>
  </si>
  <si>
    <t>%,V4310002</t>
  </si>
  <si>
    <t>4310002</t>
  </si>
  <si>
    <t>Interest on Customer Deposits</t>
  </si>
  <si>
    <t>%,V4310007</t>
  </si>
  <si>
    <t>4310007</t>
  </si>
  <si>
    <t>Lines Of Credit</t>
  </si>
  <si>
    <t>%,V4310023</t>
  </si>
  <si>
    <t>4310023</t>
  </si>
  <si>
    <t>Interest Expense - State Tax</t>
  </si>
  <si>
    <t>%,FACCOUNT,TGL_FERC_ACCT,XDYYNNY01,NOTH_INTEREST_EXP</t>
  </si>
  <si>
    <t>Line 68</t>
  </si>
  <si>
    <t>Other Interest Expense (431)</t>
  </si>
  <si>
    <t>%,V4320000</t>
  </si>
  <si>
    <t>4320000</t>
  </si>
  <si>
    <t>Allw Brrwed Fnds Used Cnstr-Cr</t>
  </si>
  <si>
    <t>%,R,FACCOUNT,TGL_FERC_ACCT,XDYYNNY01,NAFUDC-BRWD_FUNDS-CR</t>
  </si>
  <si>
    <t>Line 69</t>
  </si>
  <si>
    <t>(Less) Allowance for Borrowed Funds Used During Construction-Cr. (432)</t>
  </si>
  <si>
    <t>Line 70</t>
  </si>
  <si>
    <t>Net Interest Charges (Total of lines 62 thru 69)</t>
  </si>
  <si>
    <t>Line 71</t>
  </si>
  <si>
    <t>Income Before Extraordinary Items (Total of lines 27, 60 and 70)</t>
  </si>
  <si>
    <t>Line 72</t>
  </si>
  <si>
    <t>Extraordinary Items</t>
  </si>
  <si>
    <t>%,R,FACCOUNT,TGL_FERC_ACCT,XDYYNNY01,NEXTRAORDINARY_INCOME</t>
  </si>
  <si>
    <t>Line 73</t>
  </si>
  <si>
    <t>Extraordinary Income (434)</t>
  </si>
  <si>
    <t>%,FACCOUNT,TGL_FERC_ACCT,XDYYNNY01,NEXTRAORDINARY_DEDUCT</t>
  </si>
  <si>
    <t>Line 74</t>
  </si>
  <si>
    <t>(Less) Extraordinary Deductions (435)</t>
  </si>
  <si>
    <t>Line 75</t>
  </si>
  <si>
    <t>Net Extraordinary Items (Total of line 73 less line 74)</t>
  </si>
  <si>
    <t>%,FACCOUNT,TGL_FERC_ACCT,XDYYNNY01,NINC_TX_FED_&amp;_OTH_EXT</t>
  </si>
  <si>
    <t>Line 76</t>
  </si>
  <si>
    <t>Income Taxes-Federal and Other (409.3)</t>
  </si>
  <si>
    <t>Line 77</t>
  </si>
  <si>
    <t>Extraordinary Items After Taxes (line 75 less line 76)</t>
  </si>
  <si>
    <t>Line 78</t>
  </si>
  <si>
    <t>Net Income (Total of line 71 and 77)</t>
  </si>
  <si>
    <t>Check</t>
  </si>
  <si>
    <t>%,FACCOUNT,TGL_FERC_ACCT,NINCOME_STATEMENT</t>
  </si>
  <si>
    <t>Net Income Verification</t>
  </si>
  <si>
    <t>This line should be zero</t>
  </si>
  <si>
    <t xml:space="preserve">Report as of Date: </t>
  </si>
  <si>
    <t>2017-02-28</t>
  </si>
  <si>
    <t>Rounding Tolerance:</t>
  </si>
  <si>
    <t>Error Message Shown:</t>
  </si>
  <si>
    <t>ERROR ABOVE</t>
  </si>
  <si>
    <t>E</t>
  </si>
  <si>
    <t>Error Message Counter</t>
  </si>
  <si>
    <t>Total Error Message Count</t>
  </si>
  <si>
    <t>Operator</t>
  </si>
  <si>
    <t>S144234</t>
  </si>
  <si>
    <t>RID   Report ID</t>
  </si>
  <si>
    <t>GLR3000</t>
  </si>
  <si>
    <t>LYN   Report Layout</t>
  </si>
  <si>
    <t>BUN   Business Unit</t>
  </si>
  <si>
    <t>Error</t>
  </si>
  <si>
    <t>RBN   Report Request</t>
  </si>
  <si>
    <t>AEP Consolidated Eliminations</t>
  </si>
  <si>
    <t>RBU   Request Bus Unit</t>
  </si>
  <si>
    <t>X999</t>
  </si>
  <si>
    <t>SCN   Scope Decrip</t>
  </si>
  <si>
    <t>LEGAL_CORP</t>
  </si>
  <si>
    <t>SCD   Scope Description</t>
  </si>
  <si>
    <t>All Operating Co CORP View</t>
  </si>
  <si>
    <t>SFD   Scope Field Descr</t>
  </si>
  <si>
    <t>Kentucky Power Corp Consol</t>
  </si>
  <si>
    <t>SFV   Scope Field Value</t>
  </si>
  <si>
    <t>KYP_CORP_CONSOL</t>
  </si>
  <si>
    <t>STN   Scope Tree Name</t>
  </si>
  <si>
    <t>GL_PRPT_CONS</t>
  </si>
  <si>
    <t>Elapsed Run Time</t>
  </si>
  <si>
    <t>Reserved Section</t>
  </si>
  <si>
    <t>KENTUCKY POWER BILLING ANALYSIS</t>
  </si>
  <si>
    <t>PER BOOKS</t>
  </si>
  <si>
    <t>ENVIRONMENTAL SURCHARGE</t>
  </si>
  <si>
    <t>(% of Tot Revenue - RS, % of Non-Fuel Revenue - C&amp;I)</t>
  </si>
  <si>
    <t>12 M Feb 2017</t>
  </si>
  <si>
    <t>Tariff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</si>
  <si>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</si>
  <si>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</si>
  <si>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</si>
  <si>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</si>
  <si>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</si>
  <si>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</si>
  <si>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</si>
  <si>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</si>
  <si>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</si>
  <si>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</si>
  <si>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</si>
  <si>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</si>
  <si>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Residential</t>
  </si>
  <si>
    <t>All Other</t>
  </si>
  <si>
    <t>RS don't take out fuel</t>
  </si>
  <si>
    <t>RS Total</t>
  </si>
  <si>
    <t>RSLMTOD Total</t>
  </si>
  <si>
    <t>RS-TOD (036)</t>
  </si>
  <si>
    <t>OL - Residential</t>
  </si>
  <si>
    <t>OL - All Other</t>
  </si>
  <si>
    <t>OL</t>
  </si>
  <si>
    <t>SGS (211)</t>
  </si>
  <si>
    <t>SGS TOD (225)</t>
  </si>
  <si>
    <t>EXP SGS TOD (227)</t>
  </si>
  <si>
    <t>SGS NM Total</t>
  </si>
  <si>
    <t>MGS RL (214)</t>
  </si>
  <si>
    <t>MGS Sec Total</t>
  </si>
  <si>
    <t>MGSLMTOD (223)</t>
  </si>
  <si>
    <t>MGSTOD (229)</t>
  </si>
  <si>
    <t>MGS Pri Total</t>
  </si>
  <si>
    <t>MGS Sub (236)</t>
  </si>
  <si>
    <t>LGS Sec Total</t>
  </si>
  <si>
    <t>LGSLMTOD (251)</t>
  </si>
  <si>
    <t>LGSSECTOD (256)</t>
  </si>
  <si>
    <t>LGS Pri Total</t>
  </si>
  <si>
    <t>LGS Sub (248)</t>
  </si>
  <si>
    <t>LGS Tran (250)</t>
  </si>
  <si>
    <t>PS Sec (260)</t>
  </si>
  <si>
    <t>PS Pri (264)</t>
  </si>
  <si>
    <t>CS IRP (321)</t>
  </si>
  <si>
    <t>CS IRP (331)</t>
  </si>
  <si>
    <t>IGS Sec (356)</t>
  </si>
  <si>
    <t>IGS Pri (358)</t>
  </si>
  <si>
    <t>IGS Sub Total (359,371)</t>
  </si>
  <si>
    <t>IGS Tran Total (360,372)</t>
  </si>
  <si>
    <t>SL (528)</t>
  </si>
  <si>
    <t>MW (540)</t>
  </si>
  <si>
    <t>ES Form 1.00 Line 8</t>
  </si>
  <si>
    <t>ES FORM 3.15</t>
  </si>
  <si>
    <t>KENTUCKY POWER COMPANY - ENVIRONMENTAL SURCHARGE REPORT</t>
  </si>
  <si>
    <t>CURRENT PERIOD REVENUE REQUIREMENT</t>
  </si>
  <si>
    <t xml:space="preserve">       MITCHELL PLANT COST OF CAPITAL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</si>
  <si>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</si>
  <si>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</si>
  <si>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</si>
  <si>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</si>
  <si>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</si>
  <si>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</si>
  <si>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</si>
  <si>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</si>
  <si>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As of                                           2/28/2017*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</si>
  <si>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</si>
  <si>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</si>
  <si>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</si>
  <si>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</si>
  <si>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</si>
  <si>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</si>
  <si>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</si>
  <si>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</si>
  <si>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</si>
  <si>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</si>
  <si>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</si>
  <si>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</si>
  <si>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</si>
  <si>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</si>
  <si>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Less Federal Income Taxes (Ln 13*35%)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</si>
  <si>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</si>
  <si>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</si>
  <si>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</si>
  <si>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</si>
  <si>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>Total Monthly Operation, Maintenance, and Other Expenses</t>
  </si>
  <si>
    <t>Debt Gross-Up</t>
  </si>
  <si>
    <t>KPCo Share of Gross-up</t>
  </si>
  <si>
    <t xml:space="preserve">Total </t>
  </si>
  <si>
    <t>Non-FGD</t>
  </si>
  <si>
    <t>TEST YEAR ENDED FEBRUARY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</si>
</sst>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%"/>
    <numFmt numFmtId="167" formatCode="0_);\(0\)"/>
    <numFmt numFmtId="168" formatCode="&quot;$&quot;#,##0.00"/>
    <numFmt numFmtId="169" formatCode="0.000%"/>
    <numFmt numFmtId="170" formatCode="0.0%;[Red]\(0.0\)%"/>
    <numFmt numFmtId="171" formatCode="&quot;ID: &quot;\ #,##0"/>
    <numFmt numFmtId="172" formatCode="0.00%_);[Red]\(0.00%\)"/>
    <numFmt numFmtId="173" formatCode="mmm\ yyyy"/>
    <numFmt numFmtId="174" formatCode="0.000000"/>
    <numFmt numFmtId="175" formatCode="#,##0.0000_);\(#,##0.0000\)"/>
    <numFmt numFmtId="176" formatCode="_(* #,##0.0000_);_(* \(#,##0.0000\);_(* &quot;-&quot;??_);_(@_)"/>
    <numFmt numFmtId="177" formatCode="0.0000"/>
    <numFmt numFmtId="178" formatCode="0.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64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0"/>
      <name val="MS Sans Serif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9"/>
      <color indexed="64"/>
      <name val="Segoe UI"/>
      <family val="2"/>
    </font>
    <font>
      <sz val="9"/>
      <color indexed="64"/>
      <name val="Segoe UI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MS Sans Serif"/>
    </font>
    <font>
      <b/>
      <sz val="10"/>
      <name val="MS Sans Serif"/>
    </font>
    <font>
      <b/>
      <sz val="10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indexed="8"/>
      <name val="Arial"/>
      <family val="2"/>
    </font>
    <font>
      <b/>
      <sz val="10"/>
      <color indexed="33"/>
      <name val="Arial"/>
      <family val="2"/>
    </font>
    <font>
      <sz val="10"/>
      <color indexed="14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Arial"/>
      <family val="2"/>
    </font>
    <font>
      <u/>
      <sz val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3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0" fontId="10" fillId="0" borderId="11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0" fontId="21" fillId="0" borderId="0"/>
    <xf numFmtId="0" fontId="4" fillId="0" borderId="0"/>
    <xf numFmtId="9" fontId="20" fillId="0" borderId="0" applyFont="0" applyFill="0" applyBorder="0" applyAlignment="0" applyProtection="0"/>
    <xf numFmtId="0" fontId="24" fillId="4" borderId="0" applyNumberFormat="0" applyFont="0" applyBorder="0" applyAlignment="0" applyProtection="0"/>
    <xf numFmtId="3" fontId="24" fillId="0" borderId="0" applyFont="0" applyFill="0" applyBorder="0" applyAlignment="0" applyProtection="0"/>
    <xf numFmtId="0" fontId="25" fillId="0" borderId="11">
      <alignment horizontal="center"/>
    </xf>
    <xf numFmtId="4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0" fontId="24" fillId="0" borderId="0"/>
    <xf numFmtId="9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</cellStyleXfs>
  <cellXfs count="550">
    <xf numFmtId="0" fontId="0" fillId="0" borderId="0" xfId="0"/>
    <xf numFmtId="0" fontId="2" fillId="2" borderId="2" xfId="2" applyFont="1" applyFill="1" applyBorder="1"/>
    <xf numFmtId="0" fontId="2" fillId="0" borderId="3" xfId="2" applyFont="1" applyBorder="1"/>
    <xf numFmtId="0" fontId="2" fillId="0" borderId="4" xfId="2" applyFont="1" applyBorder="1"/>
    <xf numFmtId="0" fontId="2" fillId="2" borderId="0" xfId="2" applyFont="1" applyFill="1"/>
    <xf numFmtId="0" fontId="2" fillId="0" borderId="6" xfId="2" applyFont="1" applyBorder="1" applyAlignment="1">
      <alignment horizontal="center"/>
    </xf>
    <xf numFmtId="0" fontId="2" fillId="0" borderId="0" xfId="2" applyFont="1" applyBorder="1"/>
    <xf numFmtId="0" fontId="1" fillId="0" borderId="5" xfId="2" applyBorder="1" applyAlignment="1">
      <alignment horizontal="center"/>
    </xf>
    <xf numFmtId="0" fontId="1" fillId="2" borderId="0" xfId="2" applyFill="1"/>
    <xf numFmtId="0" fontId="1" fillId="0" borderId="6" xfId="2" applyBorder="1"/>
    <xf numFmtId="0" fontId="1" fillId="0" borderId="0" xfId="2" applyBorder="1"/>
    <xf numFmtId="0" fontId="1" fillId="0" borderId="5" xfId="2" applyBorder="1"/>
    <xf numFmtId="0" fontId="2" fillId="0" borderId="5" xfId="2" applyFont="1" applyBorder="1" applyAlignment="1">
      <alignment horizontal="center"/>
    </xf>
    <xf numFmtId="164" fontId="1" fillId="0" borderId="5" xfId="3" applyNumberFormat="1" applyFont="1" applyBorder="1"/>
    <xf numFmtId="164" fontId="1" fillId="0" borderId="5" xfId="2" applyNumberFormat="1" applyBorder="1"/>
    <xf numFmtId="0" fontId="2" fillId="0" borderId="5" xfId="2" applyFont="1" applyFill="1" applyBorder="1" applyAlignment="1">
      <alignment horizontal="center"/>
    </xf>
    <xf numFmtId="0" fontId="1" fillId="0" borderId="6" xfId="2" applyFill="1" applyBorder="1"/>
    <xf numFmtId="0" fontId="1" fillId="0" borderId="0" xfId="2" applyFill="1" applyBorder="1"/>
    <xf numFmtId="164" fontId="2" fillId="0" borderId="7" xfId="2" applyNumberFormat="1" applyFont="1" applyBorder="1"/>
    <xf numFmtId="164" fontId="1" fillId="0" borderId="8" xfId="2" applyNumberFormat="1" applyBorder="1"/>
    <xf numFmtId="0" fontId="2" fillId="0" borderId="6" xfId="2" applyFont="1" applyBorder="1" applyAlignment="1">
      <alignment horizontal="right"/>
    </xf>
    <xf numFmtId="165" fontId="1" fillId="0" borderId="0" xfId="4" applyNumberFormat="1" applyFont="1" applyBorder="1"/>
    <xf numFmtId="10" fontId="1" fillId="0" borderId="5" xfId="4" applyNumberFormat="1" applyFont="1" applyBorder="1"/>
    <xf numFmtId="44" fontId="1" fillId="0" borderId="5" xfId="1" applyFont="1" applyBorder="1"/>
    <xf numFmtId="164" fontId="1" fillId="0" borderId="5" xfId="2" applyNumberFormat="1" applyFont="1" applyBorder="1"/>
    <xf numFmtId="164" fontId="1" fillId="0" borderId="5" xfId="2" quotePrefix="1" applyNumberFormat="1" applyBorder="1" applyAlignment="1">
      <alignment horizontal="center"/>
    </xf>
    <xf numFmtId="0" fontId="2" fillId="0" borderId="9" xfId="2" applyFont="1" applyBorder="1" applyAlignment="1">
      <alignment horizontal="center"/>
    </xf>
    <xf numFmtId="17" fontId="0" fillId="0" borderId="0" xfId="0" applyNumberFormat="1"/>
    <xf numFmtId="164" fontId="1" fillId="3" borderId="5" xfId="2" applyNumberFormat="1" applyFill="1" applyBorder="1"/>
    <xf numFmtId="164" fontId="1" fillId="0" borderId="5" xfId="2" applyNumberFormat="1" applyFill="1" applyBorder="1"/>
    <xf numFmtId="164" fontId="1" fillId="0" borderId="0" xfId="2" applyNumberFormat="1" applyBorder="1"/>
    <xf numFmtId="0" fontId="0" fillId="0" borderId="0" xfId="0" applyBorder="1"/>
    <xf numFmtId="164" fontId="1" fillId="0" borderId="13" xfId="2" applyNumberFormat="1" applyFill="1" applyBorder="1"/>
    <xf numFmtId="164" fontId="3" fillId="0" borderId="13" xfId="2" applyNumberFormat="1" applyFont="1" applyBorder="1"/>
    <xf numFmtId="10" fontId="1" fillId="0" borderId="13" xfId="4" applyNumberFormat="1" applyFont="1" applyBorder="1"/>
    <xf numFmtId="164" fontId="1" fillId="0" borderId="16" xfId="2" applyNumberFormat="1" applyBorder="1"/>
    <xf numFmtId="164" fontId="1" fillId="0" borderId="13" xfId="2" applyNumberFormat="1" applyBorder="1"/>
    <xf numFmtId="6" fontId="1" fillId="0" borderId="13" xfId="2" applyNumberFormat="1" applyBorder="1"/>
    <xf numFmtId="17" fontId="0" fillId="0" borderId="15" xfId="0" applyNumberFormat="1" applyBorder="1"/>
    <xf numFmtId="17" fontId="0" fillId="0" borderId="14" xfId="0" applyNumberFormat="1" applyBorder="1"/>
    <xf numFmtId="164" fontId="1" fillId="0" borderId="0" xfId="1" applyNumberFormat="1" applyFont="1"/>
    <xf numFmtId="166" fontId="0" fillId="0" borderId="5" xfId="0" applyNumberFormat="1" applyBorder="1"/>
    <xf numFmtId="166" fontId="5" fillId="0" borderId="5" xfId="0" applyNumberFormat="1" applyFont="1" applyBorder="1"/>
    <xf numFmtId="164" fontId="0" fillId="0" borderId="0" xfId="1" applyNumberFormat="1" applyFont="1"/>
    <xf numFmtId="0" fontId="0" fillId="0" borderId="0" xfId="0"/>
    <xf numFmtId="44" fontId="4" fillId="0" borderId="0" xfId="365" applyNumberFormat="1"/>
    <xf numFmtId="164" fontId="0" fillId="0" borderId="0" xfId="0" applyNumberFormat="1"/>
    <xf numFmtId="164" fontId="1" fillId="0" borderId="0" xfId="2" applyNumberFormat="1" applyFont="1" applyFill="1" applyBorder="1"/>
    <xf numFmtId="0" fontId="5" fillId="0" borderId="0" xfId="808" applyFill="1"/>
    <xf numFmtId="49" fontId="15" fillId="0" borderId="11" xfId="365" applyNumberFormat="1" applyFont="1" applyBorder="1" applyAlignment="1"/>
    <xf numFmtId="0" fontId="15" fillId="0" borderId="11" xfId="365" applyNumberFormat="1" applyFont="1" applyBorder="1" applyAlignment="1"/>
    <xf numFmtId="0" fontId="7" fillId="0" borderId="0" xfId="365" applyFont="1" applyAlignment="1"/>
    <xf numFmtId="44" fontId="7" fillId="0" borderId="0" xfId="1" applyFont="1" applyAlignment="1">
      <alignment horizontal="center" wrapText="1"/>
    </xf>
    <xf numFmtId="0" fontId="7" fillId="0" borderId="0" xfId="365" applyFont="1" applyAlignment="1">
      <alignment horizontal="center" wrapText="1"/>
    </xf>
    <xf numFmtId="49" fontId="16" fillId="0" borderId="0" xfId="365" applyNumberFormat="1" applyFont="1"/>
    <xf numFmtId="0" fontId="16" fillId="0" borderId="0" xfId="365" applyNumberFormat="1" applyFont="1"/>
    <xf numFmtId="43" fontId="16" fillId="0" borderId="0" xfId="814" applyFont="1"/>
    <xf numFmtId="169" fontId="4" fillId="0" borderId="0" xfId="815" applyNumberFormat="1" applyFont="1"/>
    <xf numFmtId="44" fontId="4" fillId="0" borderId="0" xfId="1" applyFont="1"/>
    <xf numFmtId="0" fontId="4" fillId="0" borderId="0" xfId="365"/>
    <xf numFmtId="44" fontId="4" fillId="0" borderId="0" xfId="365" quotePrefix="1" applyNumberFormat="1"/>
    <xf numFmtId="49" fontId="16" fillId="0" borderId="0" xfId="365" applyNumberFormat="1" applyFont="1" applyFill="1"/>
    <xf numFmtId="0" fontId="16" fillId="0" borderId="0" xfId="365" applyNumberFormat="1" applyFont="1" applyFill="1"/>
    <xf numFmtId="43" fontId="16" fillId="0" borderId="0" xfId="814" applyFont="1" applyFill="1"/>
    <xf numFmtId="169" fontId="4" fillId="0" borderId="0" xfId="815" applyNumberFormat="1" applyFont="1" applyFill="1"/>
    <xf numFmtId="44" fontId="4" fillId="0" borderId="0" xfId="1" applyFont="1" applyFill="1"/>
    <xf numFmtId="0" fontId="4" fillId="0" borderId="0" xfId="365" applyFill="1"/>
    <xf numFmtId="43" fontId="1" fillId="0" borderId="0" xfId="393" applyNumberFormat="1"/>
    <xf numFmtId="166" fontId="4" fillId="0" borderId="0" xfId="815" applyNumberFormat="1" applyFont="1"/>
    <xf numFmtId="44" fontId="4" fillId="0" borderId="0" xfId="365" applyNumberFormat="1" applyFill="1"/>
    <xf numFmtId="44" fontId="4" fillId="0" borderId="0" xfId="365" quotePrefix="1" applyNumberFormat="1" applyFill="1"/>
    <xf numFmtId="49" fontId="16" fillId="0" borderId="0" xfId="376" applyNumberFormat="1" applyFont="1"/>
    <xf numFmtId="0" fontId="16" fillId="0" borderId="0" xfId="376" applyNumberFormat="1" applyFont="1"/>
    <xf numFmtId="49" fontId="15" fillId="0" borderId="0" xfId="365" applyNumberFormat="1" applyFont="1"/>
    <xf numFmtId="0" fontId="15" fillId="0" borderId="0" xfId="365" applyNumberFormat="1" applyFont="1"/>
    <xf numFmtId="43" fontId="15" fillId="0" borderId="0" xfId="814" applyFont="1"/>
    <xf numFmtId="169" fontId="7" fillId="0" borderId="0" xfId="815" applyNumberFormat="1" applyFont="1"/>
    <xf numFmtId="44" fontId="7" fillId="0" borderId="0" xfId="1" applyFont="1"/>
    <xf numFmtId="166" fontId="7" fillId="0" borderId="0" xfId="815" applyNumberFormat="1" applyFont="1"/>
    <xf numFmtId="0" fontId="7" fillId="0" borderId="0" xfId="365" applyFont="1"/>
    <xf numFmtId="0" fontId="4" fillId="0" borderId="0" xfId="365" applyNumberFormat="1"/>
    <xf numFmtId="49" fontId="4" fillId="0" borderId="0" xfId="365" applyNumberFormat="1"/>
    <xf numFmtId="0" fontId="1" fillId="0" borderId="0" xfId="393"/>
    <xf numFmtId="165" fontId="1" fillId="0" borderId="0" xfId="393" applyNumberFormat="1"/>
    <xf numFmtId="9" fontId="1" fillId="0" borderId="0" xfId="393" applyNumberFormat="1"/>
    <xf numFmtId="164" fontId="1" fillId="0" borderId="0" xfId="3" applyNumberFormat="1" applyFont="1"/>
    <xf numFmtId="164" fontId="2" fillId="0" borderId="19" xfId="2" applyNumberFormat="1" applyFont="1" applyBorder="1"/>
    <xf numFmtId="0" fontId="1" fillId="0" borderId="5" xfId="2" applyFill="1" applyBorder="1" applyAlignment="1">
      <alignment horizontal="center"/>
    </xf>
    <xf numFmtId="0" fontId="1" fillId="0" borderId="5" xfId="2" applyFill="1" applyBorder="1"/>
    <xf numFmtId="164" fontId="1" fillId="5" borderId="5" xfId="2" applyNumberFormat="1" applyFill="1" applyBorder="1"/>
    <xf numFmtId="164" fontId="2" fillId="0" borderId="5" xfId="2" applyNumberFormat="1" applyFont="1" applyFill="1" applyBorder="1"/>
    <xf numFmtId="0" fontId="2" fillId="0" borderId="5" xfId="2" applyFont="1" applyFill="1" applyBorder="1" applyAlignment="1">
      <alignment horizontal="right"/>
    </xf>
    <xf numFmtId="164" fontId="2" fillId="0" borderId="7" xfId="2" applyNumberFormat="1" applyFont="1" applyFill="1" applyBorder="1"/>
    <xf numFmtId="10" fontId="1" fillId="0" borderId="5" xfId="4" applyNumberFormat="1" applyFont="1" applyFill="1" applyBorder="1"/>
    <xf numFmtId="164" fontId="1" fillId="0" borderId="5" xfId="2" applyNumberFormat="1" applyFont="1" applyFill="1" applyBorder="1"/>
    <xf numFmtId="0" fontId="1" fillId="0" borderId="5" xfId="2" applyFont="1" applyFill="1" applyBorder="1" applyAlignment="1">
      <alignment horizontal="right"/>
    </xf>
    <xf numFmtId="0" fontId="1" fillId="0" borderId="9" xfId="2" applyFill="1" applyBorder="1" applyAlignment="1">
      <alignment horizontal="center"/>
    </xf>
    <xf numFmtId="17" fontId="0" fillId="0" borderId="20" xfId="0" applyNumberFormat="1" applyBorder="1"/>
    <xf numFmtId="164" fontId="1" fillId="0" borderId="1" xfId="3" applyNumberFormat="1" applyFont="1" applyFill="1" applyBorder="1"/>
    <xf numFmtId="0" fontId="0" fillId="0" borderId="1" xfId="0" applyBorder="1"/>
    <xf numFmtId="164" fontId="1" fillId="0" borderId="12" xfId="3" applyNumberFormat="1" applyFont="1" applyFill="1" applyBorder="1"/>
    <xf numFmtId="164" fontId="1" fillId="5" borderId="13" xfId="2" applyNumberFormat="1" applyFill="1" applyBorder="1"/>
    <xf numFmtId="164" fontId="2" fillId="0" borderId="22" xfId="2" applyNumberFormat="1" applyFont="1" applyFill="1" applyBorder="1"/>
    <xf numFmtId="0" fontId="1" fillId="0" borderId="13" xfId="2" applyFill="1" applyBorder="1"/>
    <xf numFmtId="10" fontId="1" fillId="0" borderId="13" xfId="4" applyNumberFormat="1" applyFont="1" applyFill="1" applyBorder="1"/>
    <xf numFmtId="164" fontId="1" fillId="0" borderId="13" xfId="2" applyNumberFormat="1" applyFont="1" applyFill="1" applyBorder="1"/>
    <xf numFmtId="164" fontId="1" fillId="0" borderId="4" xfId="3" applyNumberFormat="1" applyFont="1" applyFill="1" applyBorder="1"/>
    <xf numFmtId="164" fontId="1" fillId="0" borderId="0" xfId="2" applyNumberFormat="1" applyFill="1" applyBorder="1"/>
    <xf numFmtId="164" fontId="1" fillId="5" borderId="0" xfId="2" applyNumberFormat="1" applyFill="1" applyBorder="1"/>
    <xf numFmtId="164" fontId="2" fillId="0" borderId="18" xfId="2" applyNumberFormat="1" applyFont="1" applyFill="1" applyBorder="1"/>
    <xf numFmtId="10" fontId="1" fillId="0" borderId="0" xfId="4" applyNumberFormat="1" applyFont="1" applyFill="1" applyBorder="1"/>
    <xf numFmtId="0" fontId="2" fillId="2" borderId="0" xfId="2" applyFont="1" applyFill="1" applyBorder="1"/>
    <xf numFmtId="0" fontId="2" fillId="2" borderId="11" xfId="2" applyFont="1" applyFill="1" applyBorder="1"/>
    <xf numFmtId="0" fontId="17" fillId="2" borderId="4" xfId="0" applyFont="1" applyFill="1" applyBorder="1"/>
    <xf numFmtId="0" fontId="0" fillId="0" borderId="0" xfId="0" applyFont="1"/>
    <xf numFmtId="164" fontId="2" fillId="0" borderId="0" xfId="0" applyNumberFormat="1" applyFont="1" applyBorder="1"/>
    <xf numFmtId="164" fontId="2" fillId="0" borderId="1" xfId="2" applyNumberFormat="1" applyFont="1" applyBorder="1"/>
    <xf numFmtId="43" fontId="5" fillId="7" borderId="0" xfId="5" applyFont="1" applyFill="1"/>
    <xf numFmtId="164" fontId="2" fillId="0" borderId="23" xfId="2" applyNumberFormat="1" applyFont="1" applyFill="1" applyBorder="1"/>
    <xf numFmtId="17" fontId="0" fillId="0" borderId="24" xfId="0" applyNumberFormat="1" applyBorder="1"/>
    <xf numFmtId="164" fontId="1" fillId="0" borderId="6" xfId="2" applyNumberFormat="1" applyFont="1" applyFill="1" applyBorder="1"/>
    <xf numFmtId="164" fontId="1" fillId="0" borderId="3" xfId="3" applyNumberFormat="1" applyFont="1" applyFill="1" applyBorder="1"/>
    <xf numFmtId="164" fontId="1" fillId="0" borderId="6" xfId="2" applyNumberFormat="1" applyFill="1" applyBorder="1"/>
    <xf numFmtId="164" fontId="1" fillId="5" borderId="6" xfId="2" applyNumberFormat="1" applyFill="1" applyBorder="1"/>
    <xf numFmtId="164" fontId="2" fillId="0" borderId="6" xfId="2" applyNumberFormat="1" applyFont="1" applyFill="1" applyBorder="1"/>
    <xf numFmtId="164" fontId="2" fillId="0" borderId="25" xfId="2" applyNumberFormat="1" applyFont="1" applyFill="1" applyBorder="1"/>
    <xf numFmtId="10" fontId="1" fillId="0" borderId="6" xfId="4" applyNumberFormat="1" applyFont="1" applyFill="1" applyBorder="1"/>
    <xf numFmtId="164" fontId="2" fillId="0" borderId="26" xfId="2" applyNumberFormat="1" applyFont="1" applyFill="1" applyBorder="1"/>
    <xf numFmtId="164" fontId="2" fillId="0" borderId="13" xfId="2" applyNumberFormat="1" applyFont="1" applyFill="1" applyBorder="1"/>
    <xf numFmtId="164" fontId="2" fillId="0" borderId="27" xfId="2" applyNumberFormat="1" applyFont="1" applyFill="1" applyBorder="1"/>
    <xf numFmtId="164" fontId="2" fillId="0" borderId="0" xfId="2" applyNumberFormat="1" applyFont="1" applyFill="1" applyBorder="1"/>
    <xf numFmtId="164" fontId="2" fillId="0" borderId="17" xfId="2" applyNumberFormat="1" applyFont="1" applyFill="1" applyBorder="1"/>
    <xf numFmtId="0" fontId="18" fillId="0" borderId="0" xfId="808" applyFont="1" applyAlignment="1">
      <alignment horizontal="center"/>
    </xf>
    <xf numFmtId="0" fontId="5" fillId="0" borderId="0" xfId="808"/>
    <xf numFmtId="10" fontId="0" fillId="0" borderId="5" xfId="4" applyNumberFormat="1" applyFont="1" applyFill="1" applyBorder="1"/>
    <xf numFmtId="164" fontId="0" fillId="0" borderId="5" xfId="2" applyNumberFormat="1" applyFont="1" applyBorder="1"/>
    <xf numFmtId="0" fontId="20" fillId="0" borderId="0" xfId="816"/>
    <xf numFmtId="164" fontId="1" fillId="0" borderId="5" xfId="2" applyNumberFormat="1" applyFill="1" applyBorder="1"/>
    <xf numFmtId="3" fontId="5" fillId="6" borderId="0" xfId="808" applyNumberFormat="1" applyFont="1" applyFill="1"/>
    <xf numFmtId="40" fontId="5" fillId="6" borderId="0" xfId="808" applyNumberFormat="1" applyFont="1" applyFill="1" applyAlignment="1">
      <alignment horizontal="left" indent="1"/>
    </xf>
    <xf numFmtId="40" fontId="5" fillId="6" borderId="0" xfId="808" applyNumberFormat="1" applyFont="1" applyFill="1" applyAlignment="1">
      <alignment horizontal="left" indent="6"/>
    </xf>
    <xf numFmtId="0" fontId="5" fillId="6" borderId="0" xfId="808" applyNumberFormat="1" applyFont="1" applyFill="1" applyAlignment="1">
      <alignment horizontal="left" indent="6"/>
    </xf>
    <xf numFmtId="37" fontId="5" fillId="6" borderId="0" xfId="808" applyNumberFormat="1" applyFont="1" applyFill="1" applyBorder="1"/>
    <xf numFmtId="43" fontId="5" fillId="3" borderId="0" xfId="5" applyFont="1" applyFill="1"/>
    <xf numFmtId="41" fontId="5" fillId="3" borderId="0" xfId="808" applyNumberFormat="1" applyFont="1" applyFill="1"/>
    <xf numFmtId="170" fontId="5" fillId="3" borderId="0" xfId="808" applyNumberFormat="1" applyFont="1" applyFill="1" applyBorder="1" applyAlignment="1">
      <alignment horizontal="right"/>
    </xf>
    <xf numFmtId="41" fontId="5" fillId="3" borderId="29" xfId="808" applyNumberFormat="1" applyFont="1" applyFill="1" applyBorder="1"/>
    <xf numFmtId="170" fontId="5" fillId="3" borderId="0" xfId="808" applyNumberFormat="1" applyFont="1" applyFill="1" applyBorder="1" applyAlignment="1">
      <alignment horizontal="left"/>
    </xf>
    <xf numFmtId="8" fontId="5" fillId="0" borderId="0" xfId="808" applyNumberFormat="1" applyFont="1" applyFill="1" applyBorder="1"/>
    <xf numFmtId="43" fontId="5" fillId="7" borderId="30" xfId="5" applyFont="1" applyFill="1" applyBorder="1"/>
    <xf numFmtId="43" fontId="5" fillId="8" borderId="0" xfId="5" applyFont="1" applyFill="1"/>
    <xf numFmtId="3" fontId="5" fillId="0" borderId="0" xfId="808" applyNumberFormat="1" applyFont="1"/>
    <xf numFmtId="0" fontId="26" fillId="0" borderId="0" xfId="808" applyNumberFormat="1" applyFont="1" applyAlignment="1">
      <alignment horizontal="right"/>
    </xf>
    <xf numFmtId="39" fontId="18" fillId="0" borderId="0" xfId="808" applyNumberFormat="1" applyFont="1" applyAlignment="1">
      <alignment horizontal="left" indent="11"/>
    </xf>
    <xf numFmtId="41" fontId="18" fillId="0" borderId="0" xfId="808" applyNumberFormat="1" applyFont="1" applyAlignment="1"/>
    <xf numFmtId="0" fontId="18" fillId="0" borderId="0" xfId="808" applyFont="1" applyBorder="1" applyAlignment="1"/>
    <xf numFmtId="41" fontId="18" fillId="0" borderId="29" xfId="808" applyNumberFormat="1" applyFont="1" applyBorder="1" applyAlignment="1"/>
    <xf numFmtId="0" fontId="18" fillId="0" borderId="0" xfId="808" applyFont="1" applyBorder="1" applyAlignment="1">
      <alignment horizontal="left"/>
    </xf>
    <xf numFmtId="0" fontId="18" fillId="0" borderId="0" xfId="808" applyFont="1" applyFill="1" applyBorder="1" applyAlignment="1"/>
    <xf numFmtId="41" fontId="18" fillId="0" borderId="30" xfId="808" applyNumberFormat="1" applyFont="1" applyBorder="1" applyAlignment="1">
      <alignment horizontal="left" indent="1"/>
    </xf>
    <xf numFmtId="41" fontId="5" fillId="9" borderId="0" xfId="808" applyNumberFormat="1" applyFont="1" applyFill="1" applyBorder="1"/>
    <xf numFmtId="41" fontId="18" fillId="0" borderId="0" xfId="808" applyNumberFormat="1" applyFont="1" applyAlignment="1">
      <alignment horizontal="center"/>
    </xf>
    <xf numFmtId="41" fontId="5" fillId="0" borderId="0" xfId="808" applyNumberFormat="1" applyFont="1"/>
    <xf numFmtId="41" fontId="5" fillId="0" borderId="0" xfId="808" applyNumberFormat="1" applyFont="1" applyFill="1" applyAlignment="1">
      <alignment horizontal="right"/>
    </xf>
    <xf numFmtId="0" fontId="14" fillId="0" borderId="0" xfId="808" applyNumberFormat="1" applyFont="1" applyFill="1" applyAlignment="1">
      <alignment horizontal="right"/>
    </xf>
    <xf numFmtId="39" fontId="18" fillId="0" borderId="0" xfId="808" applyNumberFormat="1" applyFont="1" applyAlignment="1">
      <alignment horizontal="left" indent="14"/>
    </xf>
    <xf numFmtId="41" fontId="18" fillId="0" borderId="0" xfId="808" applyNumberFormat="1" applyFont="1" applyAlignment="1">
      <alignment horizontal="left" indent="14"/>
    </xf>
    <xf numFmtId="41" fontId="5" fillId="0" borderId="0" xfId="808" applyNumberFormat="1" applyFont="1" applyFill="1" applyAlignment="1">
      <alignment horizontal="centerContinuous"/>
    </xf>
    <xf numFmtId="170" fontId="5" fillId="0" borderId="0" xfId="808" applyNumberFormat="1" applyFont="1" applyFill="1" applyBorder="1" applyAlignment="1">
      <alignment horizontal="centerContinuous"/>
    </xf>
    <xf numFmtId="41" fontId="5" fillId="0" borderId="29" xfId="808" applyNumberFormat="1" applyFont="1" applyFill="1" applyBorder="1"/>
    <xf numFmtId="170" fontId="5" fillId="0" borderId="0" xfId="808" applyNumberFormat="1" applyFont="1" applyFill="1" applyBorder="1" applyAlignment="1">
      <alignment horizontal="left"/>
    </xf>
    <xf numFmtId="41" fontId="5" fillId="0" borderId="30" xfId="808" applyNumberFormat="1" applyFont="1" applyFill="1" applyBorder="1" applyAlignment="1">
      <alignment horizontal="right"/>
    </xf>
    <xf numFmtId="3" fontId="27" fillId="0" borderId="11" xfId="808" applyNumberFormat="1" applyFont="1" applyBorder="1" applyAlignment="1">
      <alignment horizontal="left"/>
    </xf>
    <xf numFmtId="3" fontId="5" fillId="0" borderId="31" xfId="808" applyNumberFormat="1" applyFont="1" applyBorder="1" applyAlignment="1">
      <alignment horizontal="center"/>
    </xf>
    <xf numFmtId="0" fontId="14" fillId="0" borderId="31" xfId="808" applyNumberFormat="1" applyFont="1" applyFill="1" applyBorder="1" applyAlignment="1">
      <alignment horizontal="right"/>
    </xf>
    <xf numFmtId="39" fontId="18" fillId="0" borderId="31" xfId="808" applyNumberFormat="1" applyFont="1" applyFill="1" applyBorder="1" applyAlignment="1">
      <alignment horizontal="center"/>
    </xf>
    <xf numFmtId="41" fontId="18" fillId="0" borderId="31" xfId="808" applyNumberFormat="1" applyFont="1" applyFill="1" applyBorder="1" applyAlignment="1">
      <alignment horizontal="center"/>
    </xf>
    <xf numFmtId="41" fontId="18" fillId="0" borderId="31" xfId="808" applyNumberFormat="1" applyFont="1" applyFill="1" applyBorder="1" applyAlignment="1"/>
    <xf numFmtId="170" fontId="18" fillId="0" borderId="31" xfId="808" applyNumberFormat="1" applyFont="1" applyFill="1" applyBorder="1" applyAlignment="1">
      <alignment horizontal="right"/>
    </xf>
    <xf numFmtId="41" fontId="18" fillId="0" borderId="32" xfId="808" applyNumberFormat="1" applyFont="1" applyFill="1" applyBorder="1"/>
    <xf numFmtId="170" fontId="18" fillId="0" borderId="31" xfId="808" applyNumberFormat="1" applyFont="1" applyFill="1" applyBorder="1" applyAlignment="1">
      <alignment horizontal="left"/>
    </xf>
    <xf numFmtId="8" fontId="18" fillId="0" borderId="0" xfId="808" applyNumberFormat="1" applyFont="1" applyFill="1" applyBorder="1"/>
    <xf numFmtId="41" fontId="18" fillId="0" borderId="30" xfId="808" applyNumberFormat="1" applyFont="1" applyBorder="1" applyAlignment="1">
      <alignment horizontal="center"/>
    </xf>
    <xf numFmtId="171" fontId="27" fillId="0" borderId="0" xfId="808" applyNumberFormat="1" applyFont="1" applyFill="1" applyAlignment="1">
      <alignment horizontal="left"/>
    </xf>
    <xf numFmtId="3" fontId="27" fillId="0" borderId="0" xfId="808" applyNumberFormat="1" applyFont="1" applyFill="1" applyAlignment="1">
      <alignment horizontal="center"/>
    </xf>
    <xf numFmtId="39" fontId="18" fillId="0" borderId="0" xfId="808" applyNumberFormat="1" applyFont="1" applyAlignment="1">
      <alignment horizontal="centerContinuous"/>
    </xf>
    <xf numFmtId="41" fontId="18" fillId="0" borderId="0" xfId="808" applyNumberFormat="1" applyFont="1" applyAlignment="1">
      <alignment horizontal="centerContinuous"/>
    </xf>
    <xf numFmtId="41" fontId="5" fillId="0" borderId="0" xfId="808" applyNumberFormat="1" applyFont="1" applyAlignment="1">
      <alignment horizontal="centerContinuous"/>
    </xf>
    <xf numFmtId="41" fontId="5" fillId="0" borderId="29" xfId="808" applyNumberFormat="1" applyFont="1" applyFill="1" applyBorder="1" applyAlignment="1">
      <alignment horizontal="centerContinuous"/>
    </xf>
    <xf numFmtId="8" fontId="5" fillId="0" borderId="0" xfId="808" applyNumberFormat="1" applyFont="1" applyFill="1" applyBorder="1" applyAlignment="1">
      <alignment horizontal="centerContinuous"/>
    </xf>
    <xf numFmtId="41" fontId="12" fillId="0" borderId="30" xfId="808" applyNumberFormat="1" applyFont="1" applyBorder="1" applyAlignment="1">
      <alignment horizontal="centerContinuous"/>
    </xf>
    <xf numFmtId="41" fontId="12" fillId="0" borderId="0" xfId="808" applyNumberFormat="1" applyFont="1" applyAlignment="1">
      <alignment horizontal="centerContinuous"/>
    </xf>
    <xf numFmtId="3" fontId="27" fillId="0" borderId="31" xfId="808" applyNumberFormat="1" applyFont="1" applyBorder="1" applyAlignment="1">
      <alignment horizontal="left"/>
    </xf>
    <xf numFmtId="3" fontId="27" fillId="0" borderId="31" xfId="808" applyNumberFormat="1" applyFont="1" applyBorder="1" applyAlignment="1">
      <alignment horizontal="center"/>
    </xf>
    <xf numFmtId="39" fontId="18" fillId="0" borderId="31" xfId="808" applyNumberFormat="1" applyFont="1" applyBorder="1" applyAlignment="1">
      <alignment horizontal="center"/>
    </xf>
    <xf numFmtId="41" fontId="18" fillId="0" borderId="31" xfId="808" applyNumberFormat="1" applyFont="1" applyBorder="1" applyAlignment="1">
      <alignment horizontal="center"/>
    </xf>
    <xf numFmtId="167" fontId="18" fillId="0" borderId="31" xfId="808" applyNumberFormat="1" applyFont="1" applyBorder="1" applyAlignment="1">
      <alignment horizontal="center"/>
    </xf>
    <xf numFmtId="170" fontId="18" fillId="0" borderId="31" xfId="808" applyNumberFormat="1" applyFont="1" applyFill="1" applyBorder="1" applyAlignment="1">
      <alignment horizontal="center"/>
    </xf>
    <xf numFmtId="41" fontId="18" fillId="0" borderId="32" xfId="808" applyNumberFormat="1" applyFont="1" applyFill="1" applyBorder="1" applyAlignment="1">
      <alignment horizontal="center"/>
    </xf>
    <xf numFmtId="40" fontId="18" fillId="0" borderId="0" xfId="808" applyNumberFormat="1" applyFont="1" applyFill="1" applyBorder="1" applyAlignment="1">
      <alignment horizontal="center"/>
    </xf>
    <xf numFmtId="41" fontId="18" fillId="0" borderId="33" xfId="808" applyNumberFormat="1" applyFont="1" applyBorder="1" applyAlignment="1">
      <alignment horizontal="center"/>
    </xf>
    <xf numFmtId="3" fontId="18" fillId="0" borderId="0" xfId="808" applyNumberFormat="1" applyFont="1"/>
    <xf numFmtId="3" fontId="28" fillId="0" borderId="0" xfId="808" applyNumberFormat="1" applyFont="1" applyAlignment="1">
      <alignment horizontal="left"/>
    </xf>
    <xf numFmtId="40" fontId="5" fillId="0" borderId="0" xfId="808" applyNumberFormat="1" applyFont="1"/>
    <xf numFmtId="41" fontId="18" fillId="0" borderId="0" xfId="808" applyNumberFormat="1" applyFont="1" applyFill="1"/>
    <xf numFmtId="170" fontId="18" fillId="0" borderId="34" xfId="808" applyNumberFormat="1" applyFont="1" applyFill="1" applyBorder="1" applyAlignment="1">
      <alignment horizontal="right"/>
    </xf>
    <xf numFmtId="41" fontId="18" fillId="0" borderId="29" xfId="808" applyNumberFormat="1" applyFont="1" applyFill="1" applyBorder="1"/>
    <xf numFmtId="170" fontId="18" fillId="0" borderId="0" xfId="808" applyNumberFormat="1" applyFont="1" applyFill="1" applyBorder="1" applyAlignment="1">
      <alignment horizontal="left"/>
    </xf>
    <xf numFmtId="41" fontId="5" fillId="0" borderId="30" xfId="808" applyNumberFormat="1" applyFont="1" applyFill="1" applyBorder="1"/>
    <xf numFmtId="41" fontId="5" fillId="8" borderId="0" xfId="808" applyNumberFormat="1" applyFont="1" applyFill="1" applyBorder="1"/>
    <xf numFmtId="41" fontId="5" fillId="0" borderId="0" xfId="808" applyNumberFormat="1" applyFont="1" applyFill="1" applyBorder="1"/>
    <xf numFmtId="3" fontId="5" fillId="0" borderId="0" xfId="808" applyNumberFormat="1" applyFont="1" applyFill="1" applyBorder="1"/>
    <xf numFmtId="3" fontId="5" fillId="0" borderId="0" xfId="808" applyNumberFormat="1" applyFont="1" applyFill="1" applyBorder="1" applyAlignment="1">
      <alignment horizontal="left"/>
    </xf>
    <xf numFmtId="3" fontId="5" fillId="0" borderId="0" xfId="808" applyNumberFormat="1" applyFont="1" applyFill="1" applyBorder="1" applyAlignment="1">
      <alignment horizontal="left" indent="5"/>
    </xf>
    <xf numFmtId="0" fontId="14" fillId="0" borderId="0" xfId="808" applyNumberFormat="1" applyFont="1" applyFill="1" applyBorder="1" applyAlignment="1">
      <alignment horizontal="right"/>
    </xf>
    <xf numFmtId="40" fontId="14" fillId="0" borderId="0" xfId="808" applyNumberFormat="1" applyFont="1" applyFill="1" applyBorder="1" applyAlignment="1">
      <alignment horizontal="right"/>
    </xf>
    <xf numFmtId="41" fontId="29" fillId="10" borderId="0" xfId="808" applyNumberFormat="1" applyFont="1" applyFill="1" applyBorder="1" applyAlignment="1">
      <alignment horizontal="right"/>
    </xf>
    <xf numFmtId="170" fontId="29" fillId="10" borderId="0" xfId="808" applyNumberFormat="1" applyFont="1" applyFill="1" applyBorder="1" applyAlignment="1">
      <alignment horizontal="right"/>
    </xf>
    <xf numFmtId="41" fontId="29" fillId="10" borderId="29" xfId="808" applyNumberFormat="1" applyFont="1" applyFill="1" applyBorder="1" applyAlignment="1">
      <alignment horizontal="right"/>
    </xf>
    <xf numFmtId="170" fontId="29" fillId="10" borderId="0" xfId="808" applyNumberFormat="1" applyFont="1" applyFill="1" applyBorder="1" applyAlignment="1">
      <alignment horizontal="left"/>
    </xf>
    <xf numFmtId="172" fontId="29" fillId="0" borderId="0" xfId="808" applyNumberFormat="1" applyFont="1" applyFill="1" applyBorder="1" applyAlignment="1">
      <alignment horizontal="right"/>
    </xf>
    <xf numFmtId="41" fontId="5" fillId="8" borderId="0" xfId="808" applyNumberFormat="1" applyFont="1" applyFill="1"/>
    <xf numFmtId="3" fontId="29" fillId="11" borderId="0" xfId="808" applyNumberFormat="1" applyFont="1" applyFill="1" applyBorder="1" applyAlignment="1">
      <alignment horizontal="left" indent="2"/>
    </xf>
    <xf numFmtId="38" fontId="30" fillId="11" borderId="0" xfId="808" applyNumberFormat="1" applyFont="1" applyFill="1" applyBorder="1" applyAlignment="1">
      <alignment horizontal="center"/>
    </xf>
    <xf numFmtId="172" fontId="29" fillId="11" borderId="0" xfId="808" applyNumberFormat="1" applyFont="1" applyFill="1" applyBorder="1" applyAlignment="1">
      <alignment horizontal="right"/>
    </xf>
    <xf numFmtId="172" fontId="29" fillId="11" borderId="29" xfId="808" applyNumberFormat="1" applyFont="1" applyFill="1" applyBorder="1" applyAlignment="1">
      <alignment horizontal="right"/>
    </xf>
    <xf numFmtId="40" fontId="29" fillId="11" borderId="0" xfId="808" applyNumberFormat="1" applyFont="1" applyFill="1" applyBorder="1" applyAlignment="1">
      <alignment horizontal="right"/>
    </xf>
    <xf numFmtId="170" fontId="29" fillId="11" borderId="0" xfId="808" applyNumberFormat="1" applyFont="1" applyFill="1" applyBorder="1" applyAlignment="1">
      <alignment horizontal="right"/>
    </xf>
    <xf numFmtId="172" fontId="29" fillId="8" borderId="0" xfId="808" applyNumberFormat="1" applyFont="1" applyFill="1" applyBorder="1" applyAlignment="1">
      <alignment horizontal="right"/>
    </xf>
    <xf numFmtId="38" fontId="31" fillId="0" borderId="0" xfId="808" applyNumberFormat="1" applyFont="1" applyFill="1" applyBorder="1" applyAlignment="1">
      <alignment horizontal="center"/>
    </xf>
    <xf numFmtId="170" fontId="14" fillId="0" borderId="0" xfId="808" applyNumberFormat="1" applyFont="1" applyFill="1" applyBorder="1" applyAlignment="1">
      <alignment horizontal="right"/>
    </xf>
    <xf numFmtId="3" fontId="5" fillId="0" borderId="29" xfId="808" applyNumberFormat="1" applyFont="1" applyFill="1" applyBorder="1"/>
    <xf numFmtId="170" fontId="5" fillId="0" borderId="35" xfId="433" applyNumberFormat="1" applyFont="1" applyFill="1" applyBorder="1" applyAlignment="1">
      <alignment horizontal="right"/>
    </xf>
    <xf numFmtId="172" fontId="14" fillId="0" borderId="29" xfId="808" applyNumberFormat="1" applyFont="1" applyFill="1" applyBorder="1" applyAlignment="1">
      <alignment horizontal="right"/>
    </xf>
    <xf numFmtId="170" fontId="14" fillId="0" borderId="35" xfId="808" applyNumberFormat="1" applyFont="1" applyFill="1" applyBorder="1" applyAlignment="1">
      <alignment horizontal="right"/>
    </xf>
    <xf numFmtId="3" fontId="5" fillId="8" borderId="0" xfId="808" applyNumberFormat="1" applyFont="1" applyFill="1" applyBorder="1"/>
    <xf numFmtId="40" fontId="5" fillId="0" borderId="0" xfId="808" applyNumberFormat="1" applyFont="1" applyFill="1" applyBorder="1"/>
    <xf numFmtId="170" fontId="5" fillId="0" borderId="0" xfId="433" applyNumberFormat="1" applyFont="1" applyFill="1" applyBorder="1" applyAlignment="1">
      <alignment horizontal="right"/>
    </xf>
    <xf numFmtId="3" fontId="5" fillId="0" borderId="0" xfId="808" applyNumberFormat="1" applyFont="1" applyFill="1" applyBorder="1" applyAlignment="1">
      <alignment horizontal="left" indent="4"/>
    </xf>
    <xf numFmtId="3" fontId="5" fillId="0" borderId="0" xfId="808" applyNumberFormat="1" applyFont="1" applyFill="1" applyBorder="1" applyAlignment="1">
      <alignment horizontal="left" indent="3"/>
    </xf>
    <xf numFmtId="38" fontId="14" fillId="0" borderId="0" xfId="808" quotePrefix="1" applyNumberFormat="1" applyFont="1" applyFill="1" applyBorder="1" applyAlignment="1">
      <alignment horizontal="center"/>
    </xf>
    <xf numFmtId="40" fontId="14" fillId="0" borderId="0" xfId="808" applyNumberFormat="1" applyFont="1" applyBorder="1" applyAlignment="1">
      <alignment horizontal="right"/>
    </xf>
    <xf numFmtId="3" fontId="18" fillId="0" borderId="29" xfId="808" applyNumberFormat="1" applyFont="1" applyFill="1" applyBorder="1"/>
    <xf numFmtId="8" fontId="5" fillId="0" borderId="29" xfId="808" applyNumberFormat="1" applyFont="1" applyFill="1" applyBorder="1"/>
    <xf numFmtId="3" fontId="18" fillId="0" borderId="0" xfId="808" applyNumberFormat="1" applyFont="1" applyFill="1" applyBorder="1"/>
    <xf numFmtId="3" fontId="18" fillId="8" borderId="0" xfId="808" applyNumberFormat="1" applyFont="1" applyFill="1" applyBorder="1"/>
    <xf numFmtId="38" fontId="14" fillId="0" borderId="0" xfId="808" applyNumberFormat="1" applyFont="1" applyFill="1" applyBorder="1" applyAlignment="1">
      <alignment horizontal="center"/>
    </xf>
    <xf numFmtId="172" fontId="14" fillId="0" borderId="0" xfId="808" applyNumberFormat="1" applyFont="1" applyFill="1" applyBorder="1" applyAlignment="1">
      <alignment horizontal="right"/>
    </xf>
    <xf numFmtId="3" fontId="5" fillId="12" borderId="0" xfId="808" applyNumberFormat="1" applyFont="1" applyFill="1" applyBorder="1"/>
    <xf numFmtId="3" fontId="5" fillId="12" borderId="0" xfId="808" applyNumberFormat="1" applyFont="1" applyFill="1" applyBorder="1" applyAlignment="1">
      <alignment horizontal="left"/>
    </xf>
    <xf numFmtId="3" fontId="5" fillId="12" borderId="0" xfId="808" applyNumberFormat="1" applyFont="1" applyFill="1" applyBorder="1" applyAlignment="1">
      <alignment horizontal="left" indent="5"/>
    </xf>
    <xf numFmtId="38" fontId="14" fillId="12" borderId="0" xfId="808" applyNumberFormat="1" applyFont="1" applyFill="1" applyBorder="1" applyAlignment="1">
      <alignment horizontal="center"/>
    </xf>
    <xf numFmtId="40" fontId="14" fillId="12" borderId="0" xfId="808" applyNumberFormat="1" applyFont="1" applyFill="1" applyBorder="1" applyAlignment="1">
      <alignment horizontal="right"/>
    </xf>
    <xf numFmtId="40" fontId="5" fillId="12" borderId="0" xfId="808" applyNumberFormat="1" applyFont="1" applyFill="1" applyBorder="1"/>
    <xf numFmtId="170" fontId="5" fillId="12" borderId="0" xfId="433" applyNumberFormat="1" applyFont="1" applyFill="1" applyBorder="1" applyAlignment="1">
      <alignment horizontal="right"/>
    </xf>
    <xf numFmtId="3" fontId="18" fillId="12" borderId="29" xfId="808" applyNumberFormat="1" applyFont="1" applyFill="1" applyBorder="1"/>
    <xf numFmtId="8" fontId="5" fillId="12" borderId="0" xfId="808" applyNumberFormat="1" applyFont="1" applyFill="1" applyBorder="1"/>
    <xf numFmtId="8" fontId="5" fillId="12" borderId="29" xfId="808" applyNumberFormat="1" applyFont="1" applyFill="1" applyBorder="1"/>
    <xf numFmtId="170" fontId="5" fillId="12" borderId="35" xfId="433" applyNumberFormat="1" applyFont="1" applyFill="1" applyBorder="1" applyAlignment="1">
      <alignment horizontal="right"/>
    </xf>
    <xf numFmtId="3" fontId="18" fillId="12" borderId="0" xfId="808" applyNumberFormat="1" applyFont="1" applyFill="1" applyBorder="1"/>
    <xf numFmtId="3" fontId="5" fillId="12" borderId="0" xfId="808" applyNumberFormat="1" applyFont="1" applyFill="1" applyBorder="1" applyAlignment="1">
      <alignment horizontal="left" indent="7"/>
    </xf>
    <xf numFmtId="8" fontId="18" fillId="12" borderId="0" xfId="808" applyNumberFormat="1" applyFont="1" applyFill="1" applyBorder="1"/>
    <xf numFmtId="8" fontId="18" fillId="12" borderId="29" xfId="808" applyNumberFormat="1" applyFont="1" applyFill="1" applyBorder="1"/>
    <xf numFmtId="8" fontId="18" fillId="0" borderId="29" xfId="808" applyNumberFormat="1" applyFont="1" applyFill="1" applyBorder="1"/>
    <xf numFmtId="3" fontId="5" fillId="0" borderId="36" xfId="808" applyNumberFormat="1" applyFont="1" applyFill="1" applyBorder="1" applyAlignment="1">
      <alignment horizontal="left" indent="4"/>
    </xf>
    <xf numFmtId="38" fontId="14" fillId="0" borderId="36" xfId="808" applyNumberFormat="1" applyFont="1" applyFill="1" applyBorder="1" applyAlignment="1">
      <alignment horizontal="center"/>
    </xf>
    <xf numFmtId="40" fontId="14" fillId="0" borderId="36" xfId="808" applyNumberFormat="1" applyFont="1" applyBorder="1" applyAlignment="1">
      <alignment horizontal="right"/>
    </xf>
    <xf numFmtId="40" fontId="5" fillId="0" borderId="36" xfId="808" applyNumberFormat="1" applyFont="1" applyFill="1" applyBorder="1"/>
    <xf numFmtId="170" fontId="5" fillId="0" borderId="36" xfId="433" applyNumberFormat="1" applyFont="1" applyFill="1" applyBorder="1" applyAlignment="1">
      <alignment horizontal="right"/>
    </xf>
    <xf numFmtId="3" fontId="18" fillId="0" borderId="37" xfId="808" applyNumberFormat="1" applyFont="1" applyFill="1" applyBorder="1"/>
    <xf numFmtId="8" fontId="5" fillId="0" borderId="36" xfId="808" applyNumberFormat="1" applyFont="1" applyFill="1" applyBorder="1"/>
    <xf numFmtId="8" fontId="5" fillId="0" borderId="37" xfId="808" applyNumberFormat="1" applyFont="1" applyFill="1" applyBorder="1"/>
    <xf numFmtId="170" fontId="5" fillId="0" borderId="38" xfId="433" applyNumberFormat="1" applyFont="1" applyFill="1" applyBorder="1" applyAlignment="1">
      <alignment horizontal="right"/>
    </xf>
    <xf numFmtId="3" fontId="18" fillId="0" borderId="36" xfId="808" applyNumberFormat="1" applyFont="1" applyFill="1" applyBorder="1"/>
    <xf numFmtId="3" fontId="18" fillId="8" borderId="36" xfId="808" applyNumberFormat="1" applyFont="1" applyFill="1" applyBorder="1"/>
    <xf numFmtId="3" fontId="18" fillId="0" borderId="0" xfId="808" applyNumberFormat="1" applyFont="1" applyFill="1" applyBorder="1" applyAlignment="1">
      <alignment horizontal="left" indent="3"/>
    </xf>
    <xf numFmtId="38" fontId="26" fillId="0" borderId="0" xfId="808" applyNumberFormat="1" applyFont="1" applyFill="1" applyBorder="1" applyAlignment="1">
      <alignment horizontal="center"/>
    </xf>
    <xf numFmtId="40" fontId="26" fillId="0" borderId="0" xfId="808" applyNumberFormat="1" applyFont="1" applyBorder="1" applyAlignment="1">
      <alignment horizontal="right"/>
    </xf>
    <xf numFmtId="40" fontId="18" fillId="0" borderId="0" xfId="808" applyNumberFormat="1" applyFont="1" applyFill="1" applyBorder="1"/>
    <xf numFmtId="170" fontId="18" fillId="0" borderId="0" xfId="433" applyNumberFormat="1" applyFont="1" applyFill="1" applyBorder="1" applyAlignment="1">
      <alignment horizontal="right"/>
    </xf>
    <xf numFmtId="170" fontId="18" fillId="0" borderId="35" xfId="433" applyNumberFormat="1" applyFont="1" applyFill="1" applyBorder="1" applyAlignment="1">
      <alignment horizontal="right"/>
    </xf>
    <xf numFmtId="3" fontId="18" fillId="0" borderId="0" xfId="808" applyNumberFormat="1" applyFont="1" applyFill="1" applyBorder="1" applyAlignment="1">
      <alignment horizontal="left" indent="2"/>
    </xf>
    <xf numFmtId="0" fontId="32" fillId="0" borderId="0" xfId="808" quotePrefix="1" applyNumberFormat="1" applyFont="1" applyFill="1" applyBorder="1" applyAlignment="1">
      <alignment horizontal="left"/>
    </xf>
    <xf numFmtId="0" fontId="32" fillId="0" borderId="29" xfId="808" quotePrefix="1" applyNumberFormat="1" applyFont="1" applyFill="1" applyBorder="1" applyAlignment="1">
      <alignment horizontal="left"/>
    </xf>
    <xf numFmtId="40" fontId="33" fillId="0" borderId="0" xfId="808" applyNumberFormat="1" applyFont="1" applyFill="1" applyBorder="1" applyAlignment="1">
      <alignment horizontal="center"/>
    </xf>
    <xf numFmtId="40" fontId="33" fillId="0" borderId="29" xfId="808" applyNumberFormat="1" applyFont="1" applyFill="1" applyBorder="1" applyAlignment="1">
      <alignment horizontal="center"/>
    </xf>
    <xf numFmtId="3" fontId="5" fillId="13" borderId="0" xfId="808" applyNumberFormat="1" applyFont="1" applyFill="1" applyBorder="1" applyAlignment="1">
      <alignment horizontal="left" indent="3"/>
    </xf>
    <xf numFmtId="38" fontId="14" fillId="13" borderId="0" xfId="808" applyNumberFormat="1" applyFont="1" applyFill="1" applyBorder="1" applyAlignment="1">
      <alignment horizontal="center"/>
    </xf>
    <xf numFmtId="40" fontId="14" fillId="13" borderId="0" xfId="808" applyNumberFormat="1" applyFont="1" applyFill="1" applyBorder="1" applyAlignment="1">
      <alignment horizontal="right"/>
    </xf>
    <xf numFmtId="170" fontId="14" fillId="13" borderId="0" xfId="808" applyNumberFormat="1" applyFont="1" applyFill="1" applyBorder="1" applyAlignment="1">
      <alignment horizontal="right"/>
    </xf>
    <xf numFmtId="172" fontId="14" fillId="13" borderId="0" xfId="808" applyNumberFormat="1" applyFont="1" applyFill="1" applyBorder="1" applyAlignment="1">
      <alignment horizontal="right"/>
    </xf>
    <xf numFmtId="172" fontId="14" fillId="13" borderId="29" xfId="808" applyNumberFormat="1" applyFont="1" applyFill="1" applyBorder="1" applyAlignment="1">
      <alignment horizontal="right"/>
    </xf>
    <xf numFmtId="170" fontId="14" fillId="13" borderId="35" xfId="808" applyNumberFormat="1" applyFont="1" applyFill="1" applyBorder="1" applyAlignment="1">
      <alignment horizontal="right"/>
    </xf>
    <xf numFmtId="3" fontId="5" fillId="12" borderId="0" xfId="808" applyNumberFormat="1" applyFont="1" applyFill="1" applyBorder="1" applyAlignment="1">
      <alignment horizontal="left" indent="4"/>
    </xf>
    <xf numFmtId="3" fontId="5" fillId="13" borderId="0" xfId="808" applyNumberFormat="1" applyFont="1" applyFill="1" applyBorder="1" applyAlignment="1">
      <alignment horizontal="left" indent="2"/>
    </xf>
    <xf numFmtId="3" fontId="5" fillId="0" borderId="36" xfId="808" applyNumberFormat="1" applyFont="1" applyFill="1" applyBorder="1"/>
    <xf numFmtId="40" fontId="14" fillId="0" borderId="36" xfId="808" applyNumberFormat="1" applyFont="1" applyFill="1" applyBorder="1" applyAlignment="1">
      <alignment horizontal="right"/>
    </xf>
    <xf numFmtId="0" fontId="32" fillId="0" borderId="36" xfId="808" quotePrefix="1" applyNumberFormat="1" applyFont="1" applyFill="1" applyBorder="1" applyAlignment="1">
      <alignment horizontal="left"/>
    </xf>
    <xf numFmtId="0" fontId="32" fillId="0" borderId="37" xfId="808" quotePrefix="1" applyNumberFormat="1" applyFont="1" applyFill="1" applyBorder="1" applyAlignment="1">
      <alignment horizontal="left"/>
    </xf>
    <xf numFmtId="3" fontId="5" fillId="0" borderId="36" xfId="808" applyNumberFormat="1" applyFont="1" applyFill="1" applyBorder="1" applyAlignment="1">
      <alignment horizontal="left" indent="3"/>
    </xf>
    <xf numFmtId="3" fontId="5" fillId="0" borderId="0" xfId="808" applyNumberFormat="1" applyFont="1" applyFill="1" applyBorder="1" applyAlignment="1">
      <alignment horizontal="left" indent="2"/>
    </xf>
    <xf numFmtId="3" fontId="5" fillId="0" borderId="0" xfId="808" applyNumberFormat="1" applyFont="1" applyBorder="1"/>
    <xf numFmtId="3" fontId="18" fillId="0" borderId="0" xfId="808" applyNumberFormat="1" applyFont="1" applyFill="1" applyBorder="1" applyAlignment="1">
      <alignment horizontal="left" indent="1"/>
    </xf>
    <xf numFmtId="40" fontId="18" fillId="0" borderId="0" xfId="808" applyNumberFormat="1" applyFont="1" applyFill="1" applyBorder="1" applyAlignment="1">
      <alignment horizontal="right"/>
    </xf>
    <xf numFmtId="3" fontId="5" fillId="0" borderId="29" xfId="808" applyNumberFormat="1" applyFont="1" applyBorder="1"/>
    <xf numFmtId="3" fontId="18" fillId="0" borderId="0" xfId="808" applyNumberFormat="1" applyFont="1" applyBorder="1"/>
    <xf numFmtId="3" fontId="18" fillId="0" borderId="29" xfId="808" applyNumberFormat="1" applyFont="1" applyBorder="1"/>
    <xf numFmtId="40" fontId="5" fillId="0" borderId="0" xfId="808" applyNumberFormat="1" applyFont="1" applyFill="1" applyBorder="1" applyAlignment="1">
      <alignment horizontal="right"/>
    </xf>
    <xf numFmtId="41" fontId="18" fillId="0" borderId="0" xfId="5" applyNumberFormat="1" applyFont="1" applyFill="1" applyBorder="1" applyAlignment="1">
      <alignment horizontal="right"/>
    </xf>
    <xf numFmtId="41" fontId="18" fillId="0" borderId="29" xfId="808" applyNumberFormat="1" applyFont="1" applyFill="1" applyBorder="1" applyAlignment="1">
      <alignment horizontal="right"/>
    </xf>
    <xf numFmtId="40" fontId="18" fillId="0" borderId="0" xfId="808" applyNumberFormat="1" applyFont="1" applyFill="1" applyBorder="1" applyAlignment="1">
      <alignment horizontal="left"/>
    </xf>
    <xf numFmtId="41" fontId="5" fillId="0" borderId="30" xfId="808" applyNumberFormat="1" applyFont="1" applyBorder="1"/>
    <xf numFmtId="41" fontId="5" fillId="0" borderId="0" xfId="808" applyNumberFormat="1" applyFont="1" applyBorder="1"/>
    <xf numFmtId="3" fontId="5" fillId="0" borderId="0" xfId="808" applyNumberFormat="1" applyFont="1" applyFill="1"/>
    <xf numFmtId="0" fontId="5" fillId="0" borderId="0" xfId="808" applyNumberFormat="1" applyFont="1" applyFill="1" applyAlignment="1">
      <alignment horizontal="right"/>
    </xf>
    <xf numFmtId="40" fontId="5" fillId="0" borderId="0" xfId="808" applyNumberFormat="1" applyFont="1" applyFill="1"/>
    <xf numFmtId="43" fontId="5" fillId="0" borderId="0" xfId="5" applyFont="1"/>
    <xf numFmtId="43" fontId="5" fillId="0" borderId="0" xfId="5" applyFont="1" applyFill="1"/>
    <xf numFmtId="170" fontId="5" fillId="0" borderId="0" xfId="808" applyNumberFormat="1" applyFont="1" applyFill="1" applyBorder="1" applyAlignment="1">
      <alignment horizontal="right"/>
    </xf>
    <xf numFmtId="43" fontId="5" fillId="0" borderId="30" xfId="5" applyFont="1" applyFill="1" applyBorder="1"/>
    <xf numFmtId="49" fontId="5" fillId="0" borderId="0" xfId="808" applyNumberFormat="1" applyFont="1" applyFill="1" applyAlignment="1">
      <alignment horizontal="center"/>
    </xf>
    <xf numFmtId="3" fontId="5" fillId="0" borderId="0" xfId="808" applyNumberFormat="1" applyFont="1" applyFill="1" applyAlignment="1">
      <alignment horizontal="left" indent="1"/>
    </xf>
    <xf numFmtId="43" fontId="0" fillId="0" borderId="30" xfId="5" applyFont="1" applyFill="1" applyBorder="1"/>
    <xf numFmtId="43" fontId="0" fillId="0" borderId="0" xfId="5" applyFont="1" applyFill="1"/>
    <xf numFmtId="40" fontId="33" fillId="0" borderId="0" xfId="808" applyNumberFormat="1" applyFont="1" applyAlignment="1">
      <alignment horizontal="center"/>
    </xf>
    <xf numFmtId="43" fontId="0" fillId="0" borderId="30" xfId="5" applyFont="1" applyBorder="1"/>
    <xf numFmtId="43" fontId="0" fillId="0" borderId="0" xfId="5" applyFont="1"/>
    <xf numFmtId="3" fontId="13" fillId="0" borderId="0" xfId="808" applyNumberFormat="1" applyFont="1" applyAlignment="1">
      <alignment horizontal="center"/>
    </xf>
    <xf numFmtId="40" fontId="5" fillId="0" borderId="0" xfId="808" applyNumberFormat="1" applyFont="1" applyAlignment="1"/>
    <xf numFmtId="43" fontId="13" fillId="0" borderId="0" xfId="5" applyFont="1" applyFill="1" applyAlignment="1"/>
    <xf numFmtId="41" fontId="5" fillId="0" borderId="29" xfId="808" applyNumberFormat="1" applyFont="1" applyBorder="1"/>
    <xf numFmtId="43" fontId="18" fillId="0" borderId="0" xfId="5" applyFont="1" applyFill="1"/>
    <xf numFmtId="38" fontId="5" fillId="0" borderId="0" xfId="808" applyNumberFormat="1" applyFont="1" applyFill="1"/>
    <xf numFmtId="8" fontId="18" fillId="0" borderId="0" xfId="808" applyNumberFormat="1" applyFont="1" applyFill="1"/>
    <xf numFmtId="0" fontId="5" fillId="0" borderId="0" xfId="808" applyFont="1" applyFill="1"/>
    <xf numFmtId="43" fontId="5" fillId="0" borderId="30" xfId="5" applyFont="1" applyBorder="1"/>
    <xf numFmtId="40" fontId="33" fillId="0" borderId="0" xfId="808" applyNumberFormat="1" applyFont="1" applyFill="1" applyAlignment="1">
      <alignment horizontal="center"/>
    </xf>
    <xf numFmtId="41" fontId="5" fillId="0" borderId="0" xfId="5" applyNumberFormat="1" applyFont="1" applyFill="1"/>
    <xf numFmtId="41" fontId="5" fillId="0" borderId="0" xfId="808" applyNumberFormat="1" applyFont="1" applyFill="1"/>
    <xf numFmtId="41" fontId="5" fillId="0" borderId="30" xfId="808" applyNumberFormat="1" applyFill="1" applyBorder="1"/>
    <xf numFmtId="41" fontId="5" fillId="0" borderId="0" xfId="808" applyNumberFormat="1" applyFill="1"/>
    <xf numFmtId="0" fontId="5" fillId="14" borderId="0" xfId="808" applyFont="1" applyFill="1" applyBorder="1"/>
    <xf numFmtId="3" fontId="14" fillId="14" borderId="0" xfId="808" applyNumberFormat="1" applyFont="1" applyFill="1" applyBorder="1" applyAlignment="1">
      <alignment horizontal="left"/>
    </xf>
    <xf numFmtId="3" fontId="14" fillId="14" borderId="0" xfId="808" quotePrefix="1" applyNumberFormat="1" applyFont="1" applyFill="1" applyBorder="1" applyAlignment="1" applyProtection="1">
      <alignment horizontal="right"/>
      <protection hidden="1"/>
    </xf>
    <xf numFmtId="43" fontId="5" fillId="14" borderId="0" xfId="5" applyFont="1" applyFill="1" applyBorder="1"/>
    <xf numFmtId="41" fontId="5" fillId="0" borderId="0" xfId="5" applyNumberFormat="1" applyFont="1"/>
    <xf numFmtId="41" fontId="5" fillId="14" borderId="30" xfId="808" applyNumberFormat="1" applyFont="1" applyFill="1" applyBorder="1"/>
    <xf numFmtId="41" fontId="5" fillId="14" borderId="0" xfId="808" applyNumberFormat="1" applyFont="1" applyFill="1" applyBorder="1"/>
    <xf numFmtId="3" fontId="5" fillId="14" borderId="0" xfId="808" applyNumberFormat="1" applyFont="1" applyFill="1" applyBorder="1"/>
    <xf numFmtId="3" fontId="14" fillId="14" borderId="0" xfId="808" applyNumberFormat="1" applyFont="1" applyFill="1" applyBorder="1" applyAlignment="1">
      <alignment horizontal="right"/>
    </xf>
    <xf numFmtId="38" fontId="14" fillId="14" borderId="0" xfId="808" applyNumberFormat="1" applyFont="1" applyFill="1" applyBorder="1" applyAlignment="1">
      <alignment horizontal="left"/>
    </xf>
    <xf numFmtId="38" fontId="14" fillId="14" borderId="0" xfId="808" quotePrefix="1" applyNumberFormat="1" applyFont="1" applyFill="1" applyBorder="1" applyAlignment="1">
      <alignment horizontal="right"/>
    </xf>
    <xf numFmtId="38" fontId="5" fillId="14" borderId="0" xfId="808" applyNumberFormat="1" applyFont="1" applyFill="1" applyBorder="1"/>
    <xf numFmtId="40" fontId="5" fillId="14" borderId="0" xfId="808" applyNumberFormat="1" applyFont="1" applyFill="1" applyBorder="1"/>
    <xf numFmtId="40" fontId="14" fillId="14" borderId="0" xfId="808" applyNumberFormat="1" applyFont="1" applyFill="1" applyBorder="1" applyAlignment="1">
      <alignment horizontal="right"/>
    </xf>
    <xf numFmtId="0" fontId="14" fillId="14" borderId="0" xfId="808" applyFont="1" applyFill="1" applyBorder="1" applyAlignment="1">
      <alignment horizontal="left"/>
    </xf>
    <xf numFmtId="0" fontId="14" fillId="14" borderId="0" xfId="808" applyFont="1" applyFill="1" applyBorder="1" applyAlignment="1">
      <alignment horizontal="right"/>
    </xf>
    <xf numFmtId="39" fontId="5" fillId="0" borderId="0" xfId="808" applyNumberFormat="1" applyFont="1"/>
    <xf numFmtId="166" fontId="5" fillId="0" borderId="5" xfId="0" applyNumberFormat="1" applyFont="1" applyFill="1" applyBorder="1"/>
    <xf numFmtId="166" fontId="0" fillId="0" borderId="5" xfId="0" applyNumberFormat="1" applyFill="1" applyBorder="1"/>
    <xf numFmtId="0" fontId="0" fillId="0" borderId="0" xfId="0" applyFill="1"/>
    <xf numFmtId="164" fontId="1" fillId="0" borderId="1" xfId="3" applyNumberFormat="1" applyFont="1" applyBorder="1"/>
    <xf numFmtId="164" fontId="1" fillId="0" borderId="9" xfId="2" applyNumberFormat="1" applyBorder="1"/>
    <xf numFmtId="164" fontId="1" fillId="0" borderId="19" xfId="3" applyNumberFormat="1" applyFont="1" applyBorder="1"/>
    <xf numFmtId="164" fontId="1" fillId="0" borderId="0" xfId="3" applyNumberFormat="1" applyFont="1" applyBorder="1"/>
    <xf numFmtId="164" fontId="1" fillId="3" borderId="0" xfId="2" applyNumberFormat="1" applyFill="1" applyBorder="1"/>
    <xf numFmtId="164" fontId="2" fillId="0" borderId="18" xfId="2" applyNumberFormat="1" applyFont="1" applyBorder="1"/>
    <xf numFmtId="164" fontId="1" fillId="0" borderId="36" xfId="2" applyNumberFormat="1" applyBorder="1"/>
    <xf numFmtId="164" fontId="2" fillId="0" borderId="22" xfId="2" applyNumberFormat="1" applyFont="1" applyBorder="1"/>
    <xf numFmtId="44" fontId="1" fillId="0" borderId="0" xfId="1" applyFont="1" applyBorder="1"/>
    <xf numFmtId="164" fontId="1" fillId="0" borderId="0" xfId="2" applyNumberFormat="1" applyFont="1" applyBorder="1"/>
    <xf numFmtId="164" fontId="1" fillId="0" borderId="0" xfId="2" quotePrefix="1" applyNumberFormat="1" applyBorder="1" applyAlignment="1">
      <alignment horizontal="center"/>
    </xf>
    <xf numFmtId="164" fontId="2" fillId="0" borderId="40" xfId="2" applyNumberFormat="1" applyFont="1" applyBorder="1"/>
    <xf numFmtId="17" fontId="0" fillId="0" borderId="42" xfId="0" applyNumberFormat="1" applyBorder="1"/>
    <xf numFmtId="164" fontId="1" fillId="0" borderId="13" xfId="3" applyNumberFormat="1" applyFont="1" applyBorder="1"/>
    <xf numFmtId="0" fontId="1" fillId="0" borderId="13" xfId="2" applyBorder="1"/>
    <xf numFmtId="44" fontId="1" fillId="0" borderId="13" xfId="1" applyFont="1" applyBorder="1"/>
    <xf numFmtId="164" fontId="1" fillId="0" borderId="13" xfId="2" applyNumberFormat="1" applyFont="1" applyBorder="1"/>
    <xf numFmtId="164" fontId="1" fillId="0" borderId="13" xfId="2" quotePrefix="1" applyNumberFormat="1" applyBorder="1" applyAlignment="1">
      <alignment horizontal="center"/>
    </xf>
    <xf numFmtId="17" fontId="0" fillId="0" borderId="39" xfId="0" applyNumberFormat="1" applyBorder="1"/>
    <xf numFmtId="17" fontId="0" fillId="0" borderId="44" xfId="0" applyNumberFormat="1" applyBorder="1"/>
    <xf numFmtId="164" fontId="1" fillId="0" borderId="40" xfId="3" applyNumberFormat="1" applyFont="1" applyBorder="1"/>
    <xf numFmtId="164" fontId="2" fillId="0" borderId="45" xfId="2" applyNumberFormat="1" applyFont="1" applyBorder="1"/>
    <xf numFmtId="0" fontId="34" fillId="0" borderId="0" xfId="389" applyFont="1"/>
    <xf numFmtId="0" fontId="35" fillId="0" borderId="0" xfId="389" applyFont="1"/>
    <xf numFmtId="0" fontId="36" fillId="16" borderId="0" xfId="808" applyFont="1" applyFill="1"/>
    <xf numFmtId="37" fontId="37" fillId="0" borderId="0" xfId="389" applyNumberFormat="1" applyFont="1"/>
    <xf numFmtId="173" fontId="9" fillId="0" borderId="0" xfId="808" applyNumberFormat="1" applyFont="1" applyAlignment="1">
      <alignment horizontal="right"/>
    </xf>
    <xf numFmtId="0" fontId="34" fillId="0" borderId="0" xfId="389" applyFont="1" applyAlignment="1">
      <alignment horizontal="right"/>
    </xf>
    <xf numFmtId="165" fontId="34" fillId="0" borderId="0" xfId="389" applyNumberFormat="1" applyFont="1"/>
    <xf numFmtId="0" fontId="1" fillId="0" borderId="0" xfId="389"/>
    <xf numFmtId="168" fontId="34" fillId="17" borderId="0" xfId="389" applyNumberFormat="1" applyFont="1" applyFill="1"/>
    <xf numFmtId="168" fontId="34" fillId="0" borderId="0" xfId="389" applyNumberFormat="1" applyFont="1"/>
    <xf numFmtId="0" fontId="34" fillId="17" borderId="0" xfId="389" applyFont="1" applyFill="1"/>
    <xf numFmtId="0" fontId="1" fillId="0" borderId="0" xfId="389" applyFont="1"/>
    <xf numFmtId="0" fontId="1" fillId="0" borderId="0" xfId="389" applyFill="1"/>
    <xf numFmtId="168" fontId="34" fillId="0" borderId="0" xfId="389" applyNumberFormat="1" applyFont="1" applyFill="1"/>
    <xf numFmtId="0" fontId="1" fillId="15" borderId="0" xfId="389" applyFill="1"/>
    <xf numFmtId="0" fontId="34" fillId="0" borderId="36" xfId="389" applyFont="1" applyBorder="1"/>
    <xf numFmtId="0" fontId="34" fillId="0" borderId="46" xfId="389" applyFont="1" applyBorder="1"/>
    <xf numFmtId="0" fontId="34" fillId="0" borderId="47" xfId="389" applyFont="1" applyBorder="1"/>
    <xf numFmtId="0" fontId="5" fillId="0" borderId="0" xfId="398" applyAlignment="1">
      <alignment horizontal="center"/>
    </xf>
    <xf numFmtId="0" fontId="5" fillId="0" borderId="0" xfId="398"/>
    <xf numFmtId="49" fontId="5" fillId="0" borderId="0" xfId="398" applyNumberFormat="1" applyAlignment="1">
      <alignment horizontal="left"/>
    </xf>
    <xf numFmtId="0" fontId="5" fillId="0" borderId="0" xfId="398" applyFont="1"/>
    <xf numFmtId="0" fontId="5" fillId="0" borderId="0" xfId="398" applyBorder="1" applyAlignment="1">
      <alignment horizontal="center"/>
    </xf>
    <xf numFmtId="0" fontId="5" fillId="0" borderId="0" xfId="398" applyBorder="1"/>
    <xf numFmtId="49" fontId="6" fillId="0" borderId="2" xfId="378" applyNumberFormat="1" applyBorder="1" applyAlignment="1">
      <alignment horizontal="center" wrapText="1"/>
    </xf>
    <xf numFmtId="49" fontId="6" fillId="10" borderId="4" xfId="378" applyNumberFormat="1" applyFill="1" applyBorder="1" applyAlignment="1">
      <alignment wrapText="1"/>
    </xf>
    <xf numFmtId="49" fontId="6" fillId="0" borderId="48" xfId="378" applyNumberFormat="1" applyBorder="1" applyAlignment="1">
      <alignment horizontal="center" wrapText="1"/>
    </xf>
    <xf numFmtId="49" fontId="6" fillId="10" borderId="41" xfId="378" applyNumberFormat="1" applyFill="1" applyBorder="1" applyAlignment="1">
      <alignment wrapText="1"/>
    </xf>
    <xf numFmtId="49" fontId="6" fillId="0" borderId="41" xfId="378" applyNumberFormat="1" applyBorder="1" applyAlignment="1">
      <alignment horizontal="center" wrapText="1"/>
    </xf>
    <xf numFmtId="49" fontId="6" fillId="0" borderId="2" xfId="378" applyNumberFormat="1" applyFill="1" applyBorder="1" applyAlignment="1">
      <alignment wrapText="1"/>
    </xf>
    <xf numFmtId="0" fontId="6" fillId="10" borderId="41" xfId="378" applyFill="1" applyBorder="1"/>
    <xf numFmtId="0" fontId="6" fillId="0" borderId="41" xfId="378" applyBorder="1" applyAlignment="1">
      <alignment horizontal="center"/>
    </xf>
    <xf numFmtId="0" fontId="6" fillId="10" borderId="41" xfId="378" applyFill="1" applyBorder="1" applyAlignment="1">
      <alignment horizontal="center"/>
    </xf>
    <xf numFmtId="0" fontId="6" fillId="0" borderId="41" xfId="378" applyBorder="1"/>
    <xf numFmtId="49" fontId="6" fillId="0" borderId="28" xfId="378" applyNumberFormat="1" applyBorder="1" applyAlignment="1">
      <alignment horizontal="center" wrapText="1"/>
    </xf>
    <xf numFmtId="49" fontId="5" fillId="0" borderId="0" xfId="398" applyNumberFormat="1" applyBorder="1" applyAlignment="1">
      <alignment horizontal="center" wrapText="1"/>
    </xf>
    <xf numFmtId="49" fontId="6" fillId="0" borderId="6" xfId="378" applyNumberFormat="1" applyBorder="1" applyAlignment="1">
      <alignment horizontal="center" wrapText="1"/>
    </xf>
    <xf numFmtId="49" fontId="6" fillId="10" borderId="0" xfId="378" applyNumberFormat="1" applyFill="1" applyBorder="1" applyAlignment="1">
      <alignment wrapText="1"/>
    </xf>
    <xf numFmtId="49" fontId="6" fillId="0" borderId="0" xfId="378" applyNumberFormat="1" applyBorder="1" applyAlignment="1">
      <alignment horizontal="center" wrapText="1"/>
    </xf>
    <xf numFmtId="49" fontId="38" fillId="0" borderId="0" xfId="378" applyNumberFormat="1" applyFont="1" applyBorder="1" applyAlignment="1">
      <alignment horizontal="center" wrapText="1"/>
    </xf>
    <xf numFmtId="49" fontId="6" fillId="0" borderId="5" xfId="378" applyNumberFormat="1" applyFill="1" applyBorder="1" applyAlignment="1">
      <alignment wrapText="1"/>
    </xf>
    <xf numFmtId="0" fontId="6" fillId="10" borderId="0" xfId="378" applyFill="1" applyBorder="1"/>
    <xf numFmtId="0" fontId="6" fillId="0" borderId="0" xfId="378" applyBorder="1" applyAlignment="1">
      <alignment horizontal="center"/>
    </xf>
    <xf numFmtId="0" fontId="6" fillId="10" borderId="0" xfId="378" applyFill="1" applyBorder="1" applyAlignment="1">
      <alignment horizontal="center"/>
    </xf>
    <xf numFmtId="0" fontId="6" fillId="0" borderId="0" xfId="378" applyBorder="1"/>
    <xf numFmtId="49" fontId="6" fillId="0" borderId="13" xfId="378" applyNumberFormat="1" applyBorder="1" applyAlignment="1">
      <alignment horizontal="center" wrapText="1"/>
    </xf>
    <xf numFmtId="0" fontId="6" fillId="0" borderId="1" xfId="378" applyBorder="1" applyAlignment="1">
      <alignment horizontal="center"/>
    </xf>
    <xf numFmtId="0" fontId="6" fillId="10" borderId="4" xfId="378" applyFill="1" applyBorder="1"/>
    <xf numFmtId="0" fontId="6" fillId="0" borderId="4" xfId="378" applyBorder="1"/>
    <xf numFmtId="0" fontId="6" fillId="0" borderId="1" xfId="378" applyFill="1" applyBorder="1"/>
    <xf numFmtId="0" fontId="6" fillId="0" borderId="12" xfId="378" applyBorder="1"/>
    <xf numFmtId="0" fontId="0" fillId="0" borderId="5" xfId="378" applyFont="1" applyBorder="1" applyAlignment="1">
      <alignment horizontal="center"/>
    </xf>
    <xf numFmtId="5" fontId="14" fillId="0" borderId="0" xfId="378" applyNumberFormat="1" applyFont="1" applyBorder="1"/>
    <xf numFmtId="10" fontId="6" fillId="0" borderId="0" xfId="378" applyNumberFormat="1" applyBorder="1"/>
    <xf numFmtId="10" fontId="14" fillId="0" borderId="0" xfId="378" applyNumberFormat="1" applyFont="1" applyBorder="1"/>
    <xf numFmtId="0" fontId="6" fillId="0" borderId="5" xfId="378" applyFill="1" applyBorder="1"/>
    <xf numFmtId="174" fontId="6" fillId="0" borderId="0" xfId="378" applyNumberFormat="1" applyBorder="1" applyAlignment="1">
      <alignment horizontal="center"/>
    </xf>
    <xf numFmtId="0" fontId="0" fillId="0" borderId="0" xfId="378" applyFont="1" applyBorder="1"/>
    <xf numFmtId="165" fontId="6" fillId="0" borderId="13" xfId="378" applyNumberFormat="1" applyBorder="1"/>
    <xf numFmtId="10" fontId="5" fillId="0" borderId="0" xfId="398" applyNumberFormat="1" applyBorder="1"/>
    <xf numFmtId="49" fontId="6" fillId="0" borderId="0" xfId="378" applyNumberFormat="1" applyFill="1" applyBorder="1" applyAlignment="1">
      <alignment wrapText="1"/>
    </xf>
    <xf numFmtId="10" fontId="38" fillId="0" borderId="0" xfId="378" applyNumberFormat="1" applyFont="1" applyBorder="1"/>
    <xf numFmtId="0" fontId="5" fillId="0" borderId="5" xfId="378" applyFont="1" applyBorder="1" applyAlignment="1">
      <alignment horizontal="center"/>
    </xf>
    <xf numFmtId="174" fontId="38" fillId="0" borderId="0" xfId="378" applyNumberFormat="1" applyFont="1" applyBorder="1" applyAlignment="1">
      <alignment horizontal="center"/>
    </xf>
    <xf numFmtId="0" fontId="0" fillId="0" borderId="0" xfId="378" applyFont="1" applyBorder="1" applyAlignment="1">
      <alignment horizontal="center"/>
    </xf>
    <xf numFmtId="169" fontId="6" fillId="0" borderId="0" xfId="378" applyNumberFormat="1" applyBorder="1"/>
    <xf numFmtId="169" fontId="39" fillId="0" borderId="0" xfId="378" applyNumberFormat="1" applyFont="1" applyBorder="1"/>
    <xf numFmtId="175" fontId="6" fillId="0" borderId="13" xfId="378" applyNumberFormat="1" applyBorder="1"/>
    <xf numFmtId="175" fontId="5" fillId="0" borderId="0" xfId="398" applyNumberFormat="1" applyBorder="1"/>
    <xf numFmtId="5" fontId="26" fillId="0" borderId="0" xfId="378" applyNumberFormat="1" applyFont="1" applyBorder="1"/>
    <xf numFmtId="10" fontId="18" fillId="0" borderId="0" xfId="378" applyNumberFormat="1" applyFont="1" applyBorder="1"/>
    <xf numFmtId="165" fontId="18" fillId="0" borderId="13" xfId="378" applyNumberFormat="1" applyFont="1" applyBorder="1" applyAlignment="1">
      <alignment horizontal="right" wrapText="1"/>
    </xf>
    <xf numFmtId="10" fontId="18" fillId="0" borderId="0" xfId="398" applyNumberFormat="1" applyFont="1" applyBorder="1" applyAlignment="1">
      <alignment horizontal="center" wrapText="1"/>
    </xf>
    <xf numFmtId="0" fontId="6" fillId="0" borderId="13" xfId="378" applyBorder="1"/>
    <xf numFmtId="0" fontId="0" fillId="0" borderId="9" xfId="378" applyFont="1" applyBorder="1" applyAlignment="1">
      <alignment horizontal="center"/>
    </xf>
    <xf numFmtId="0" fontId="6" fillId="10" borderId="11" xfId="378" applyFill="1" applyBorder="1"/>
    <xf numFmtId="0" fontId="6" fillId="0" borderId="11" xfId="378" applyBorder="1"/>
    <xf numFmtId="0" fontId="6" fillId="0" borderId="9" xfId="378" applyFill="1" applyBorder="1"/>
    <xf numFmtId="0" fontId="6" fillId="0" borderId="21" xfId="378" applyBorder="1"/>
    <xf numFmtId="0" fontId="5" fillId="0" borderId="6" xfId="398" applyBorder="1" applyAlignment="1">
      <alignment horizontal="center"/>
    </xf>
    <xf numFmtId="0" fontId="5" fillId="10" borderId="0" xfId="398" applyFill="1" applyBorder="1"/>
    <xf numFmtId="0" fontId="5" fillId="10" borderId="0" xfId="398" applyFill="1" applyBorder="1" applyAlignment="1">
      <alignment horizontal="center"/>
    </xf>
    <xf numFmtId="0" fontId="5" fillId="0" borderId="13" xfId="398" applyBorder="1"/>
    <xf numFmtId="0" fontId="5" fillId="0" borderId="0" xfId="398" applyFill="1" applyBorder="1" applyAlignment="1">
      <alignment horizontal="center"/>
    </xf>
    <xf numFmtId="0" fontId="5" fillId="0" borderId="0" xfId="398" applyFill="1" applyBorder="1"/>
    <xf numFmtId="0" fontId="5" fillId="0" borderId="0" xfId="398" applyFill="1"/>
    <xf numFmtId="0" fontId="19" fillId="0" borderId="0" xfId="398" applyFont="1" applyFill="1" applyBorder="1" applyAlignment="1">
      <alignment horizontal="center"/>
    </xf>
    <xf numFmtId="176" fontId="6" fillId="0" borderId="0" xfId="108" applyNumberFormat="1" applyFont="1" applyBorder="1"/>
    <xf numFmtId="176" fontId="6" fillId="0" borderId="0" xfId="108" applyNumberFormat="1" applyFont="1" applyBorder="1" applyAlignment="1">
      <alignment horizontal="right"/>
    </xf>
    <xf numFmtId="0" fontId="6" fillId="0" borderId="0" xfId="378"/>
    <xf numFmtId="176" fontId="6" fillId="0" borderId="0" xfId="108" applyNumberFormat="1" applyFont="1" applyAlignment="1">
      <alignment horizontal="right"/>
    </xf>
    <xf numFmtId="0" fontId="0" fillId="0" borderId="0" xfId="378" applyFont="1"/>
    <xf numFmtId="177" fontId="6" fillId="0" borderId="0" xfId="378" applyNumberFormat="1"/>
    <xf numFmtId="0" fontId="5" fillId="0" borderId="0" xfId="378" applyFont="1"/>
    <xf numFmtId="0" fontId="5" fillId="0" borderId="0" xfId="398" applyFont="1" applyAlignment="1">
      <alignment horizontal="center"/>
    </xf>
    <xf numFmtId="0" fontId="6" fillId="0" borderId="0" xfId="378" applyAlignment="1">
      <alignment horizontal="center"/>
    </xf>
    <xf numFmtId="176" fontId="6" fillId="0" borderId="0" xfId="108" applyNumberFormat="1" applyFont="1" applyAlignment="1">
      <alignment horizontal="right" vertical="center"/>
    </xf>
    <xf numFmtId="0" fontId="6" fillId="0" borderId="0" xfId="378" applyAlignment="1">
      <alignment horizontal="right"/>
    </xf>
    <xf numFmtId="178" fontId="6" fillId="0" borderId="0" xfId="378" applyNumberFormat="1"/>
    <xf numFmtId="177" fontId="6" fillId="0" borderId="0" xfId="378" applyNumberFormat="1" applyAlignment="1">
      <alignment horizontal="right"/>
    </xf>
    <xf numFmtId="0" fontId="5" fillId="0" borderId="0" xfId="378" applyFont="1" applyAlignment="1">
      <alignment horizontal="center"/>
    </xf>
    <xf numFmtId="0" fontId="5" fillId="0" borderId="0" xfId="378" applyFont="1" applyAlignment="1">
      <alignment horizontal="right"/>
    </xf>
    <xf numFmtId="0" fontId="18" fillId="0" borderId="0" xfId="378" applyFont="1" applyFill="1" applyBorder="1" applyAlignment="1">
      <alignment horizontal="center"/>
    </xf>
    <xf numFmtId="37" fontId="5" fillId="0" borderId="0" xfId="378" applyNumberFormat="1" applyFont="1" applyFill="1" applyBorder="1" applyAlignment="1">
      <alignment horizontal="center"/>
    </xf>
    <xf numFmtId="0" fontId="5" fillId="0" borderId="0" xfId="378" applyFont="1" applyFill="1" applyBorder="1"/>
    <xf numFmtId="0" fontId="6" fillId="0" borderId="0" xfId="378" applyFill="1" applyBorder="1"/>
    <xf numFmtId="10" fontId="6" fillId="0" borderId="0" xfId="378" applyNumberFormat="1" applyFill="1" applyBorder="1"/>
    <xf numFmtId="0" fontId="6" fillId="0" borderId="0" xfId="378" applyFill="1" applyBorder="1" applyAlignment="1">
      <alignment horizontal="center"/>
    </xf>
    <xf numFmtId="0" fontId="6" fillId="0" borderId="0" xfId="378" applyFill="1"/>
    <xf numFmtId="49" fontId="5" fillId="0" borderId="0" xfId="378" applyNumberFormat="1" applyFont="1" applyFill="1" applyBorder="1" applyAlignment="1">
      <alignment horizontal="center" wrapText="1"/>
    </xf>
    <xf numFmtId="37" fontId="6" fillId="0" borderId="0" xfId="378" applyNumberFormat="1" applyFill="1" applyBorder="1" applyAlignment="1">
      <alignment horizontal="center"/>
    </xf>
    <xf numFmtId="164" fontId="1" fillId="0" borderId="49" xfId="2" applyNumberFormat="1" applyBorder="1"/>
    <xf numFmtId="164" fontId="1" fillId="0" borderId="5" xfId="1" applyNumberFormat="1" applyFont="1" applyBorder="1"/>
    <xf numFmtId="0" fontId="2" fillId="18" borderId="6" xfId="2" applyFont="1" applyFill="1" applyBorder="1" applyAlignment="1">
      <alignment horizontal="right"/>
    </xf>
    <xf numFmtId="0" fontId="2" fillId="18" borderId="0" xfId="2" applyFont="1" applyFill="1" applyBorder="1"/>
    <xf numFmtId="164" fontId="1" fillId="18" borderId="0" xfId="2" applyNumberFormat="1" applyFont="1" applyFill="1" applyBorder="1"/>
    <xf numFmtId="164" fontId="2" fillId="18" borderId="0" xfId="2" applyNumberFormat="1" applyFont="1" applyFill="1" applyBorder="1"/>
    <xf numFmtId="164" fontId="2" fillId="0" borderId="4" xfId="2" applyNumberFormat="1" applyFont="1" applyBorder="1"/>
    <xf numFmtId="164" fontId="2" fillId="0" borderId="12" xfId="2" applyNumberFormat="1" applyFont="1" applyBorder="1"/>
    <xf numFmtId="0" fontId="0" fillId="0" borderId="40" xfId="0" applyBorder="1"/>
    <xf numFmtId="164" fontId="1" fillId="0" borderId="40" xfId="1" applyNumberFormat="1" applyFont="1" applyBorder="1"/>
    <xf numFmtId="164" fontId="0" fillId="0" borderId="0" xfId="1" applyNumberFormat="1" applyFont="1" applyBorder="1"/>
    <xf numFmtId="0" fontId="0" fillId="0" borderId="0" xfId="0" applyFont="1" applyBorder="1"/>
    <xf numFmtId="164" fontId="4" fillId="0" borderId="0" xfId="365" applyNumberFormat="1" applyFont="1" applyBorder="1"/>
    <xf numFmtId="0" fontId="0" fillId="0" borderId="36" xfId="0" applyFont="1" applyBorder="1"/>
    <xf numFmtId="164" fontId="2" fillId="0" borderId="36" xfId="0" applyNumberFormat="1" applyFont="1" applyBorder="1"/>
    <xf numFmtId="0" fontId="2" fillId="2" borderId="48" xfId="2" applyFont="1" applyFill="1" applyBorder="1"/>
    <xf numFmtId="17" fontId="0" fillId="0" borderId="43" xfId="0" applyNumberFormat="1" applyBorder="1"/>
    <xf numFmtId="164" fontId="1" fillId="0" borderId="50" xfId="3" applyNumberFormat="1" applyFont="1" applyBorder="1"/>
    <xf numFmtId="164" fontId="1" fillId="3" borderId="13" xfId="2" applyNumberFormat="1" applyFill="1" applyBorder="1"/>
    <xf numFmtId="164" fontId="2" fillId="0" borderId="50" xfId="2" applyNumberFormat="1" applyFont="1" applyBorder="1"/>
    <xf numFmtId="0" fontId="2" fillId="0" borderId="51" xfId="2" applyFont="1" applyBorder="1" applyAlignment="1">
      <alignment horizontal="right"/>
    </xf>
    <xf numFmtId="164" fontId="1" fillId="0" borderId="50" xfId="1" applyNumberFormat="1" applyFont="1" applyBorder="1"/>
    <xf numFmtId="0" fontId="1" fillId="0" borderId="6" xfId="2" applyFont="1" applyBorder="1" applyAlignment="1">
      <alignment horizontal="right"/>
    </xf>
    <xf numFmtId="164" fontId="0" fillId="0" borderId="13" xfId="1" applyNumberFormat="1" applyFont="1" applyBorder="1"/>
    <xf numFmtId="164" fontId="4" fillId="0" borderId="13" xfId="365" applyNumberFormat="1" applyFont="1" applyBorder="1"/>
    <xf numFmtId="0" fontId="2" fillId="0" borderId="52" xfId="0" applyFont="1" applyBorder="1" applyAlignment="1">
      <alignment horizontal="right"/>
    </xf>
    <xf numFmtId="164" fontId="2" fillId="0" borderId="16" xfId="0" applyNumberFormat="1" applyFont="1" applyBorder="1"/>
    <xf numFmtId="164" fontId="1" fillId="18" borderId="13" xfId="2" applyNumberFormat="1" applyFont="1" applyFill="1" applyBorder="1"/>
    <xf numFmtId="0" fontId="2" fillId="18" borderId="10" xfId="2" applyFont="1" applyFill="1" applyBorder="1" applyAlignment="1">
      <alignment horizontal="right"/>
    </xf>
    <xf numFmtId="0" fontId="2" fillId="18" borderId="11" xfId="2" applyFont="1" applyFill="1" applyBorder="1"/>
    <xf numFmtId="164" fontId="2" fillId="18" borderId="11" xfId="2" applyNumberFormat="1" applyFont="1" applyFill="1" applyBorder="1"/>
    <xf numFmtId="164" fontId="2" fillId="18" borderId="21" xfId="2" applyNumberFormat="1" applyFont="1" applyFill="1" applyBorder="1"/>
    <xf numFmtId="17" fontId="0" fillId="0" borderId="2" xfId="0" applyNumberFormat="1" applyBorder="1"/>
    <xf numFmtId="0" fontId="2" fillId="18" borderId="5" xfId="2" applyFont="1" applyFill="1" applyBorder="1" applyAlignment="1">
      <alignment horizontal="right"/>
    </xf>
    <xf numFmtId="9" fontId="2" fillId="18" borderId="6" xfId="2" applyNumberFormat="1" applyFont="1" applyFill="1" applyBorder="1"/>
    <xf numFmtId="0" fontId="2" fillId="0" borderId="5" xfId="2" applyFont="1" applyBorder="1"/>
    <xf numFmtId="0" fontId="2" fillId="18" borderId="9" xfId="2" applyFont="1" applyFill="1" applyBorder="1" applyAlignment="1">
      <alignment horizontal="right"/>
    </xf>
    <xf numFmtId="17" fontId="0" fillId="0" borderId="53" xfId="0" applyNumberFormat="1" applyBorder="1"/>
    <xf numFmtId="0" fontId="2" fillId="0" borderId="9" xfId="2" applyFont="1" applyBorder="1"/>
    <xf numFmtId="0" fontId="2" fillId="0" borderId="5" xfId="2" applyFont="1" applyFill="1" applyBorder="1"/>
    <xf numFmtId="10" fontId="2" fillId="0" borderId="5" xfId="4" applyNumberFormat="1" applyFont="1" applyFill="1" applyBorder="1"/>
    <xf numFmtId="0" fontId="2" fillId="18" borderId="5" xfId="2" applyFont="1" applyFill="1" applyBorder="1"/>
    <xf numFmtId="0" fontId="2" fillId="18" borderId="9" xfId="2" applyFont="1" applyFill="1" applyBorder="1"/>
    <xf numFmtId="0" fontId="0" fillId="18" borderId="11" xfId="0" applyFill="1" applyBorder="1"/>
    <xf numFmtId="164" fontId="2" fillId="18" borderId="11" xfId="0" applyNumberFormat="1" applyFont="1" applyFill="1" applyBorder="1"/>
    <xf numFmtId="0" fontId="2" fillId="0" borderId="5" xfId="2" applyFont="1" applyBorder="1" applyAlignment="1">
      <alignment horizontal="center" wrapText="1"/>
    </xf>
    <xf numFmtId="0" fontId="2" fillId="0" borderId="9" xfId="2" applyFont="1" applyBorder="1" applyAlignment="1">
      <alignment horizont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21" xfId="2" applyFont="1" applyBorder="1" applyAlignment="1">
      <alignment horizontal="center" wrapText="1"/>
    </xf>
  </cellXfs>
  <cellStyles count="833">
    <cellStyle name="Comma" xfId="814" builtinId="3"/>
    <cellStyle name="Comma 10" xfId="5"/>
    <cellStyle name="Comma 10 2" xfId="6"/>
    <cellStyle name="Comma 10 3" xfId="7"/>
    <cellStyle name="Comma 10 3 2" xfId="8"/>
    <cellStyle name="Comma 10 3 3" xfId="9"/>
    <cellStyle name="Comma 10 4" xfId="10"/>
    <cellStyle name="Comma 10 4 2" xfId="11"/>
    <cellStyle name="Comma 10 4 3" xfId="12"/>
    <cellStyle name="Comma 10 4 4" xfId="13"/>
    <cellStyle name="Comma 10 5" xfId="14"/>
    <cellStyle name="Comma 10 5 2" xfId="15"/>
    <cellStyle name="Comma 10 5 2 2" xfId="16"/>
    <cellStyle name="Comma 10 5 2 3" xfId="17"/>
    <cellStyle name="Comma 10 5 2 3 2" xfId="18"/>
    <cellStyle name="Comma 10 5 3" xfId="19"/>
    <cellStyle name="Comma 10 6" xfId="20"/>
    <cellStyle name="Comma 10 6 2" xfId="21"/>
    <cellStyle name="Comma 10 6 3" xfId="22"/>
    <cellStyle name="Comma 10 6 3 2" xfId="23"/>
    <cellStyle name="Comma 10 7" xfId="24"/>
    <cellStyle name="Comma 10 8" xfId="25"/>
    <cellStyle name="Comma 10 8 2" xfId="26"/>
    <cellStyle name="Comma 11" xfId="27"/>
    <cellStyle name="Comma 11 10" xfId="28"/>
    <cellStyle name="Comma 11 11" xfId="29"/>
    <cellStyle name="Comma 11 11 2" xfId="30"/>
    <cellStyle name="Comma 11 11 2 2" xfId="31"/>
    <cellStyle name="Comma 11 11 2 3" xfId="32"/>
    <cellStyle name="Comma 11 11 2 3 2" xfId="33"/>
    <cellStyle name="Comma 11 12" xfId="34"/>
    <cellStyle name="Comma 11 13" xfId="35"/>
    <cellStyle name="Comma 11 13 2" xfId="36"/>
    <cellStyle name="Comma 11 13 2 2" xfId="37"/>
    <cellStyle name="Comma 11 13 2 3" xfId="38"/>
    <cellStyle name="Comma 11 13 2 3 2" xfId="39"/>
    <cellStyle name="Comma 11 2" xfId="40"/>
    <cellStyle name="Comma 11 3" xfId="41"/>
    <cellStyle name="Comma 11 4" xfId="42"/>
    <cellStyle name="Comma 11 5" xfId="43"/>
    <cellStyle name="Comma 11 6" xfId="44"/>
    <cellStyle name="Comma 11 7" xfId="45"/>
    <cellStyle name="Comma 11 7 2" xfId="46"/>
    <cellStyle name="Comma 11 7 2 2" xfId="47"/>
    <cellStyle name="Comma 11 7 2 3" xfId="48"/>
    <cellStyle name="Comma 11 8" xfId="49"/>
    <cellStyle name="Comma 11 9" xfId="50"/>
    <cellStyle name="Comma 12" xfId="51"/>
    <cellStyle name="Comma 12 10" xfId="52"/>
    <cellStyle name="Comma 12 10 2" xfId="53"/>
    <cellStyle name="Comma 12 10 2 2" xfId="54"/>
    <cellStyle name="Comma 12 10 2 3" xfId="55"/>
    <cellStyle name="Comma 12 10 2 3 2" xfId="56"/>
    <cellStyle name="Comma 12 11" xfId="57"/>
    <cellStyle name="Comma 12 12" xfId="58"/>
    <cellStyle name="Comma 12 12 2" xfId="59"/>
    <cellStyle name="Comma 12 12 2 2" xfId="60"/>
    <cellStyle name="Comma 12 12 2 3" xfId="61"/>
    <cellStyle name="Comma 12 12 2 3 2" xfId="62"/>
    <cellStyle name="Comma 12 2" xfId="63"/>
    <cellStyle name="Comma 12 3" xfId="64"/>
    <cellStyle name="Comma 12 4" xfId="65"/>
    <cellStyle name="Comma 12 5" xfId="66"/>
    <cellStyle name="Comma 12 6" xfId="67"/>
    <cellStyle name="Comma 12 6 2" xfId="68"/>
    <cellStyle name="Comma 12 6 2 2" xfId="69"/>
    <cellStyle name="Comma 12 6 2 3" xfId="70"/>
    <cellStyle name="Comma 12 7" xfId="71"/>
    <cellStyle name="Comma 12 8" xfId="72"/>
    <cellStyle name="Comma 12 9" xfId="73"/>
    <cellStyle name="Comma 13" xfId="74"/>
    <cellStyle name="Comma 13 2" xfId="75"/>
    <cellStyle name="Comma 13 3" xfId="76"/>
    <cellStyle name="Comma 13 4" xfId="77"/>
    <cellStyle name="Comma 13 5" xfId="78"/>
    <cellStyle name="Comma 13 6" xfId="79"/>
    <cellStyle name="Comma 14" xfId="80"/>
    <cellStyle name="Comma 14 2" xfId="81"/>
    <cellStyle name="Comma 14 3" xfId="82"/>
    <cellStyle name="Comma 14 4" xfId="83"/>
    <cellStyle name="Comma 14 5" xfId="84"/>
    <cellStyle name="Comma 15" xfId="85"/>
    <cellStyle name="Comma 15 2" xfId="86"/>
    <cellStyle name="Comma 15 3" xfId="87"/>
    <cellStyle name="Comma 15 4" xfId="88"/>
    <cellStyle name="Comma 15 5" xfId="89"/>
    <cellStyle name="Comma 16" xfId="90"/>
    <cellStyle name="Comma 16 2" xfId="91"/>
    <cellStyle name="Comma 16 3" xfId="92"/>
    <cellStyle name="Comma 16 3 2" xfId="93"/>
    <cellStyle name="Comma 16 3 3" xfId="94"/>
    <cellStyle name="Comma 16 3 3 2" xfId="95"/>
    <cellStyle name="Comma 17" xfId="96"/>
    <cellStyle name="Comma 17 2" xfId="97"/>
    <cellStyle name="Comma 17 3" xfId="98"/>
    <cellStyle name="Comma 17 3 2" xfId="99"/>
    <cellStyle name="Comma 18" xfId="100"/>
    <cellStyle name="Comma 18 2" xfId="101"/>
    <cellStyle name="Comma 18 3" xfId="102"/>
    <cellStyle name="Comma 18 3 2" xfId="103"/>
    <cellStyle name="Comma 19" xfId="104"/>
    <cellStyle name="Comma 19 2" xfId="105"/>
    <cellStyle name="Comma 19 3" xfId="106"/>
    <cellStyle name="Comma 19 3 2" xfId="107"/>
    <cellStyle name="Comma 2" xfId="108"/>
    <cellStyle name="Comma 2 2" xfId="109"/>
    <cellStyle name="Comma 2 2 2" xfId="110"/>
    <cellStyle name="Comma 2 2 3" xfId="111"/>
    <cellStyle name="Comma 2 2 4" xfId="112"/>
    <cellStyle name="Comma 2 2 5" xfId="113"/>
    <cellStyle name="Comma 2 2 6" xfId="114"/>
    <cellStyle name="Comma 2 2 6 2" xfId="115"/>
    <cellStyle name="Comma 2 2 7" xfId="116"/>
    <cellStyle name="Comma 2 3" xfId="117"/>
    <cellStyle name="Comma 2 3 2" xfId="118"/>
    <cellStyle name="Comma 2 3 3" xfId="119"/>
    <cellStyle name="Comma 2 3 4" xfId="120"/>
    <cellStyle name="Comma 2 3 4 2" xfId="121"/>
    <cellStyle name="Comma 2 3 4 2 2" xfId="122"/>
    <cellStyle name="Comma 2 3 4 3" xfId="123"/>
    <cellStyle name="Comma 2 3 4 4" xfId="124"/>
    <cellStyle name="Comma 2 3 4 5" xfId="125"/>
    <cellStyle name="Comma 2 3 4 5 2" xfId="126"/>
    <cellStyle name="Comma 2 3 5" xfId="127"/>
    <cellStyle name="Comma 2 4" xfId="128"/>
    <cellStyle name="Comma 2 5" xfId="129"/>
    <cellStyle name="Comma 20" xfId="130"/>
    <cellStyle name="Comma 20 2" xfId="131"/>
    <cellStyle name="Comma 20 3" xfId="132"/>
    <cellStyle name="Comma 20 3 2" xfId="133"/>
    <cellStyle name="Comma 21" xfId="134"/>
    <cellStyle name="Comma 21 2" xfId="135"/>
    <cellStyle name="Comma 21 3" xfId="136"/>
    <cellStyle name="Comma 21 3 2" xfId="137"/>
    <cellStyle name="Comma 22" xfId="138"/>
    <cellStyle name="Comma 22 2" xfId="139"/>
    <cellStyle name="Comma 22 3" xfId="140"/>
    <cellStyle name="Comma 22 3 2" xfId="141"/>
    <cellStyle name="Comma 23" xfId="142"/>
    <cellStyle name="Comma 23 2" xfId="143"/>
    <cellStyle name="Comma 23 3" xfId="144"/>
    <cellStyle name="Comma 23 3 2" xfId="145"/>
    <cellStyle name="Comma 24" xfId="146"/>
    <cellStyle name="Comma 24 2" xfId="147"/>
    <cellStyle name="Comma 24 3" xfId="148"/>
    <cellStyle name="Comma 24 3 2" xfId="149"/>
    <cellStyle name="Comma 25" xfId="150"/>
    <cellStyle name="Comma 25 2" xfId="151"/>
    <cellStyle name="Comma 25 3" xfId="152"/>
    <cellStyle name="Comma 25 3 2" xfId="153"/>
    <cellStyle name="Comma 26" xfId="154"/>
    <cellStyle name="Comma 26 2" xfId="155"/>
    <cellStyle name="Comma 26 3" xfId="156"/>
    <cellStyle name="Comma 26 3 2" xfId="157"/>
    <cellStyle name="Comma 27" xfId="158"/>
    <cellStyle name="Comma 27 2" xfId="159"/>
    <cellStyle name="Comma 27 3" xfId="160"/>
    <cellStyle name="Comma 27 3 2" xfId="161"/>
    <cellStyle name="Comma 28" xfId="162"/>
    <cellStyle name="Comma 28 2" xfId="163"/>
    <cellStyle name="Comma 29" xfId="164"/>
    <cellStyle name="Comma 29 2" xfId="165"/>
    <cellStyle name="Comma 3" xfId="166"/>
    <cellStyle name="Comma 3 2" xfId="167"/>
    <cellStyle name="Comma 3 3" xfId="168"/>
    <cellStyle name="Comma 3 3 2" xfId="169"/>
    <cellStyle name="Comma 3 3 2 2" xfId="170"/>
    <cellStyle name="Comma 3 3 3" xfId="171"/>
    <cellStyle name="Comma 3 4" xfId="172"/>
    <cellStyle name="Comma 3 5" xfId="173"/>
    <cellStyle name="Comma 3 5 2" xfId="174"/>
    <cellStyle name="Comma 3 6" xfId="175"/>
    <cellStyle name="Comma 30" xfId="176"/>
    <cellStyle name="Comma 31" xfId="177"/>
    <cellStyle name="Comma 31 2" xfId="178"/>
    <cellStyle name="Comma 31 3" xfId="179"/>
    <cellStyle name="Comma 31 3 2" xfId="180"/>
    <cellStyle name="Comma 32" xfId="181"/>
    <cellStyle name="Comma 32 2" xfId="182"/>
    <cellStyle name="Comma 32 2 2" xfId="183"/>
    <cellStyle name="Comma 32 3" xfId="184"/>
    <cellStyle name="Comma 32 4" xfId="185"/>
    <cellStyle name="Comma 32 4 2" xfId="186"/>
    <cellStyle name="Comma 33" xfId="187"/>
    <cellStyle name="Comma 33 2" xfId="188"/>
    <cellStyle name="Comma 33 3" xfId="189"/>
    <cellStyle name="Comma 33 3 2" xfId="190"/>
    <cellStyle name="Comma 34" xfId="191"/>
    <cellStyle name="Comma 35" xfId="192"/>
    <cellStyle name="Comma 35 2" xfId="193"/>
    <cellStyle name="Comma 36" xfId="194"/>
    <cellStyle name="Comma 36 2" xfId="195"/>
    <cellStyle name="Comma 37" xfId="196"/>
    <cellStyle name="Comma 37 2" xfId="197"/>
    <cellStyle name="Comma 38" xfId="198"/>
    <cellStyle name="Comma 38 2" xfId="199"/>
    <cellStyle name="Comma 39" xfId="200"/>
    <cellStyle name="Comma 39 2" xfId="201"/>
    <cellStyle name="Comma 4" xfId="202"/>
    <cellStyle name="Comma 4 2" xfId="203"/>
    <cellStyle name="Comma 4 3" xfId="204"/>
    <cellStyle name="Comma 4 4" xfId="205"/>
    <cellStyle name="Comma 4 5" xfId="206"/>
    <cellStyle name="Comma 40" xfId="207"/>
    <cellStyle name="Comma 41" xfId="817"/>
    <cellStyle name="Comma 42" xfId="831"/>
    <cellStyle name="Comma 5" xfId="208"/>
    <cellStyle name="Comma 5 2" xfId="209"/>
    <cellStyle name="Comma 5 3" xfId="210"/>
    <cellStyle name="Comma 5 4" xfId="211"/>
    <cellStyle name="Comma 5 5" xfId="212"/>
    <cellStyle name="Comma 5 6" xfId="213"/>
    <cellStyle name="Comma 6" xfId="214"/>
    <cellStyle name="Comma 6 2" xfId="215"/>
    <cellStyle name="Comma 6 3" xfId="216"/>
    <cellStyle name="Comma 6 4" xfId="217"/>
    <cellStyle name="Comma 6 4 2" xfId="218"/>
    <cellStyle name="Comma 6 4 2 2" xfId="219"/>
    <cellStyle name="Comma 6 4 3" xfId="220"/>
    <cellStyle name="Comma 6 4 4" xfId="221"/>
    <cellStyle name="Comma 6 4 5" xfId="222"/>
    <cellStyle name="Comma 6 4 5 2" xfId="223"/>
    <cellStyle name="Comma 6 5" xfId="224"/>
    <cellStyle name="Comma 7" xfId="225"/>
    <cellStyle name="Comma 7 2" xfId="226"/>
    <cellStyle name="Comma 7 2 2" xfId="227"/>
    <cellStyle name="Comma 7 2 2 2" xfId="228"/>
    <cellStyle name="Comma 7 2 2 2 2" xfId="229"/>
    <cellStyle name="Comma 7 2 2 3" xfId="230"/>
    <cellStyle name="Comma 7 2 2 3 2" xfId="231"/>
    <cellStyle name="Comma 7 2 2 3 2 2" xfId="232"/>
    <cellStyle name="Comma 7 2 2 3 3" xfId="233"/>
    <cellStyle name="Comma 7 2 2 4" xfId="234"/>
    <cellStyle name="Comma 7 2 3" xfId="235"/>
    <cellStyle name="Comma 7 3" xfId="236"/>
    <cellStyle name="Comma 7 3 2" xfId="237"/>
    <cellStyle name="Comma 7 3 2 2" xfId="238"/>
    <cellStyle name="Comma 7 3 3" xfId="239"/>
    <cellStyle name="Comma 7 3 3 2" xfId="240"/>
    <cellStyle name="Comma 7 3 3 2 2" xfId="241"/>
    <cellStyle name="Comma 7 3 3 3" xfId="242"/>
    <cellStyle name="Comma 7 3 4" xfId="243"/>
    <cellStyle name="Comma 7 4" xfId="244"/>
    <cellStyle name="Comma 7 4 2" xfId="245"/>
    <cellStyle name="Comma 7 5" xfId="246"/>
    <cellStyle name="Comma 7 5 2" xfId="247"/>
    <cellStyle name="Comma 7 5 2 2" xfId="248"/>
    <cellStyle name="Comma 7 5 3" xfId="249"/>
    <cellStyle name="Comma 7 6" xfId="250"/>
    <cellStyle name="Comma 8" xfId="251"/>
    <cellStyle name="Comma 8 2" xfId="252"/>
    <cellStyle name="Comma 8 2 2" xfId="253"/>
    <cellStyle name="Comma 8 2 3" xfId="254"/>
    <cellStyle name="Comma 8 2 4" xfId="255"/>
    <cellStyle name="Comma 8 2 4 10" xfId="256"/>
    <cellStyle name="Comma 8 2 4 11" xfId="257"/>
    <cellStyle name="Comma 8 2 4 11 2" xfId="258"/>
    <cellStyle name="Comma 8 2 4 11 2 2" xfId="259"/>
    <cellStyle name="Comma 8 2 4 11 2 3" xfId="260"/>
    <cellStyle name="Comma 8 2 4 11 2 3 2" xfId="261"/>
    <cellStyle name="Comma 8 2 4 2" xfId="262"/>
    <cellStyle name="Comma 8 2 4 3" xfId="263"/>
    <cellStyle name="Comma 8 2 4 4" xfId="264"/>
    <cellStyle name="Comma 8 2 4 5" xfId="265"/>
    <cellStyle name="Comma 8 2 4 5 2" xfId="266"/>
    <cellStyle name="Comma 8 2 4 5 2 2" xfId="267"/>
    <cellStyle name="Comma 8 2 4 5 2 3" xfId="268"/>
    <cellStyle name="Comma 8 2 4 6" xfId="269"/>
    <cellStyle name="Comma 8 2 4 7" xfId="270"/>
    <cellStyle name="Comma 8 2 4 8" xfId="271"/>
    <cellStyle name="Comma 8 2 4 9" xfId="272"/>
    <cellStyle name="Comma 8 2 4 9 2" xfId="273"/>
    <cellStyle name="Comma 8 2 4 9 2 2" xfId="274"/>
    <cellStyle name="Comma 8 2 4 9 2 3" xfId="275"/>
    <cellStyle name="Comma 8 2 4 9 2 3 2" xfId="276"/>
    <cellStyle name="Comma 8 2 5" xfId="277"/>
    <cellStyle name="Comma 8 2 5 2" xfId="278"/>
    <cellStyle name="Comma 8 2 5 3" xfId="279"/>
    <cellStyle name="Comma 8 2 5 4" xfId="280"/>
    <cellStyle name="Comma 8 2 6" xfId="281"/>
    <cellStyle name="Comma 8 2 6 2" xfId="282"/>
    <cellStyle name="Comma 8 2 6 2 2" xfId="283"/>
    <cellStyle name="Comma 8 2 6 2 3" xfId="284"/>
    <cellStyle name="Comma 8 2 6 2 3 2" xfId="285"/>
    <cellStyle name="Comma 8 2 6 3" xfId="286"/>
    <cellStyle name="Comma 8 2 7" xfId="287"/>
    <cellStyle name="Comma 8 2 7 2" xfId="288"/>
    <cellStyle name="Comma 8 2 7 3" xfId="289"/>
    <cellStyle name="Comma 8 2 7 3 2" xfId="290"/>
    <cellStyle name="Comma 8 2 8" xfId="291"/>
    <cellStyle name="Comma 8 2 9" xfId="292"/>
    <cellStyle name="Comma 8 2 9 2" xfId="293"/>
    <cellStyle name="Comma 8 3" xfId="294"/>
    <cellStyle name="Comma 8 4" xfId="295"/>
    <cellStyle name="Comma 8 5" xfId="296"/>
    <cellStyle name="Comma 8 5 2" xfId="297"/>
    <cellStyle name="Comma 8 6" xfId="298"/>
    <cellStyle name="Comma 8 6 2" xfId="299"/>
    <cellStyle name="Comma 9" xfId="300"/>
    <cellStyle name="Comma 9 2" xfId="301"/>
    <cellStyle name="Comma 9 2 2" xfId="302"/>
    <cellStyle name="Comma 9 2 3" xfId="303"/>
    <cellStyle name="Comma 9 2 3 2" xfId="304"/>
    <cellStyle name="Comma 9 2 3 3" xfId="305"/>
    <cellStyle name="Comma 9 2 3 4" xfId="306"/>
    <cellStyle name="Comma 9 2 4" xfId="307"/>
    <cellStyle name="Comma 9 2 4 2" xfId="308"/>
    <cellStyle name="Comma 9 2 4 2 2" xfId="309"/>
    <cellStyle name="Comma 9 2 4 2 3" xfId="310"/>
    <cellStyle name="Comma 9 2 4 2 3 2" xfId="311"/>
    <cellStyle name="Comma 9 2 4 3" xfId="312"/>
    <cellStyle name="Comma 9 2 5" xfId="313"/>
    <cellStyle name="Comma 9 2 5 2" xfId="314"/>
    <cellStyle name="Comma 9 2 5 3" xfId="315"/>
    <cellStyle name="Comma 9 2 5 3 2" xfId="316"/>
    <cellStyle name="Comma 9 2 6" xfId="317"/>
    <cellStyle name="Comma 9 2 7" xfId="318"/>
    <cellStyle name="Comma 9 2 7 2" xfId="319"/>
    <cellStyle name="Comma 9 3" xfId="320"/>
    <cellStyle name="Comma 9 4" xfId="321"/>
    <cellStyle name="Comma 9 5" xfId="322"/>
    <cellStyle name="Comma 9 6" xfId="323"/>
    <cellStyle name="Comma 9 6 10" xfId="324"/>
    <cellStyle name="Comma 9 6 11" xfId="325"/>
    <cellStyle name="Comma 9 6 11 2" xfId="326"/>
    <cellStyle name="Comma 9 6 11 2 2" xfId="327"/>
    <cellStyle name="Comma 9 6 11 2 3" xfId="328"/>
    <cellStyle name="Comma 9 6 11 2 3 2" xfId="329"/>
    <cellStyle name="Comma 9 6 2" xfId="330"/>
    <cellStyle name="Comma 9 6 3" xfId="331"/>
    <cellStyle name="Comma 9 6 4" xfId="332"/>
    <cellStyle name="Comma 9 6 5" xfId="333"/>
    <cellStyle name="Comma 9 6 5 2" xfId="334"/>
    <cellStyle name="Comma 9 6 5 2 2" xfId="335"/>
    <cellStyle name="Comma 9 6 5 2 3" xfId="336"/>
    <cellStyle name="Comma 9 6 6" xfId="337"/>
    <cellStyle name="Comma 9 6 7" xfId="338"/>
    <cellStyle name="Comma 9 6 8" xfId="339"/>
    <cellStyle name="Comma 9 6 9" xfId="340"/>
    <cellStyle name="Comma 9 6 9 2" xfId="341"/>
    <cellStyle name="Comma 9 6 9 2 2" xfId="342"/>
    <cellStyle name="Comma 9 6 9 2 3" xfId="343"/>
    <cellStyle name="Comma 9 6 9 2 3 2" xfId="344"/>
    <cellStyle name="Currency" xfId="1" builtinId="4"/>
    <cellStyle name="Currency 10" xfId="345"/>
    <cellStyle name="Currency 11" xfId="818"/>
    <cellStyle name="Currency 2" xfId="346"/>
    <cellStyle name="Currency 2 2" xfId="811"/>
    <cellStyle name="Currency 3" xfId="3"/>
    <cellStyle name="Currency 3 2" xfId="347"/>
    <cellStyle name="Currency 3 2 2" xfId="348"/>
    <cellStyle name="Currency 3 3" xfId="349"/>
    <cellStyle name="Currency 4" xfId="350"/>
    <cellStyle name="Currency 4 2" xfId="351"/>
    <cellStyle name="Currency 4 3" xfId="352"/>
    <cellStyle name="Currency 4 3 2" xfId="353"/>
    <cellStyle name="Currency 5" xfId="354"/>
    <cellStyle name="Currency 5 2" xfId="355"/>
    <cellStyle name="Currency 5 3" xfId="356"/>
    <cellStyle name="Currency 5 3 2" xfId="357"/>
    <cellStyle name="Currency 6" xfId="358"/>
    <cellStyle name="Currency 7" xfId="359"/>
    <cellStyle name="Currency 7 2" xfId="360"/>
    <cellStyle name="Currency 8" xfId="361"/>
    <cellStyle name="Currency 8 2" xfId="362"/>
    <cellStyle name="Currency 9" xfId="363"/>
    <cellStyle name="Currency 9 2" xfId="364"/>
    <cellStyle name="Normal" xfId="0" builtinId="0"/>
    <cellStyle name="Normal 10" xfId="365"/>
    <cellStyle name="Normal 10 2" xfId="366"/>
    <cellStyle name="Normal 105" xfId="808"/>
    <cellStyle name="Normal 11" xfId="367"/>
    <cellStyle name="Normal 11 2" xfId="368"/>
    <cellStyle name="Normal 111" xfId="810"/>
    <cellStyle name="Normal 12" xfId="369"/>
    <cellStyle name="Normal 12 2" xfId="370"/>
    <cellStyle name="Normal 121" xfId="812"/>
    <cellStyle name="Normal 13" xfId="371"/>
    <cellStyle name="Normal 13 2" xfId="372"/>
    <cellStyle name="Normal 14" xfId="373"/>
    <cellStyle name="Normal 14 2" xfId="374"/>
    <cellStyle name="Normal 15" xfId="375"/>
    <cellStyle name="Normal 15 2" xfId="813"/>
    <cellStyle name="Normal 16" xfId="376"/>
    <cellStyle name="Normal 17" xfId="816"/>
    <cellStyle name="Normal 18" xfId="832"/>
    <cellStyle name="Normal 19" xfId="829"/>
    <cellStyle name="Normal 2" xfId="377"/>
    <cellStyle name="Normal 2 2" xfId="378"/>
    <cellStyle name="Normal 2 2 2" xfId="379"/>
    <cellStyle name="Normal 2 2 3" xfId="380"/>
    <cellStyle name="Normal 2 2 4" xfId="381"/>
    <cellStyle name="Normal 2 2 4 2" xfId="382"/>
    <cellStyle name="Normal 2 2 4 2 2" xfId="383"/>
    <cellStyle name="Normal 2 2 4 3" xfId="384"/>
    <cellStyle name="Normal 2 2 4 4" xfId="385"/>
    <cellStyle name="Normal 2 2 4 5" xfId="386"/>
    <cellStyle name="Normal 2 2 4 5 2" xfId="387"/>
    <cellStyle name="Normal 2 2 5" xfId="388"/>
    <cellStyle name="Normal 2 2 6" xfId="389"/>
    <cellStyle name="Normal 2 2 6 2" xfId="390"/>
    <cellStyle name="Normal 2 2 6 2 2" xfId="391"/>
    <cellStyle name="Normal 2 2 6 3" xfId="392"/>
    <cellStyle name="Normal 2 3" xfId="393"/>
    <cellStyle name="Normal 2 3 2" xfId="394"/>
    <cellStyle name="Normal 2 3 2 2" xfId="395"/>
    <cellStyle name="Normal 2 3 3" xfId="396"/>
    <cellStyle name="Normal 2 4" xfId="397"/>
    <cellStyle name="Normal 2 5" xfId="819"/>
    <cellStyle name="Normal 3" xfId="398"/>
    <cellStyle name="Normal 3 2" xfId="399"/>
    <cellStyle name="Normal 3 2 2" xfId="400"/>
    <cellStyle name="Normal 3 3" xfId="401"/>
    <cellStyle name="Normal 3 3 2" xfId="402"/>
    <cellStyle name="Normal 3 4" xfId="403"/>
    <cellStyle name="Normal 3 4 2" xfId="404"/>
    <cellStyle name="Normal 3 4 2 2" xfId="405"/>
    <cellStyle name="Normal 3 4 3" xfId="406"/>
    <cellStyle name="Normal 3 5" xfId="820"/>
    <cellStyle name="Normal 4" xfId="2"/>
    <cellStyle name="Normal 4 2" xfId="407"/>
    <cellStyle name="Normal 4 3" xfId="408"/>
    <cellStyle name="Normal 4 3 2" xfId="409"/>
    <cellStyle name="Normal 4 3 2 2" xfId="410"/>
    <cellStyle name="Normal 4 3 2 2 2" xfId="411"/>
    <cellStyle name="Normal 4 3 2 3" xfId="412"/>
    <cellStyle name="Normal 4 3 3" xfId="413"/>
    <cellStyle name="Normal 4 4" xfId="414"/>
    <cellStyle name="Normal 4 4 2" xfId="415"/>
    <cellStyle name="Normal 4 4 3" xfId="821"/>
    <cellStyle name="Normal 4 5" xfId="416"/>
    <cellStyle name="Normal 5" xfId="417"/>
    <cellStyle name="Normal 5 2" xfId="418"/>
    <cellStyle name="Normal 5 2 2" xfId="419"/>
    <cellStyle name="Normal 5 2 3" xfId="420"/>
    <cellStyle name="Normal 5 2 3 2" xfId="421"/>
    <cellStyle name="Normal 5 3" xfId="422"/>
    <cellStyle name="Normal 5 4" xfId="423"/>
    <cellStyle name="Normal 6" xfId="424"/>
    <cellStyle name="Normal 6 2" xfId="425"/>
    <cellStyle name="Normal 7" xfId="426"/>
    <cellStyle name="Normal 7 2" xfId="427"/>
    <cellStyle name="Normal 7 3" xfId="428"/>
    <cellStyle name="Normal 7 3 2" xfId="429"/>
    <cellStyle name="Normal 7 4" xfId="809"/>
    <cellStyle name="Normal 8" xfId="430"/>
    <cellStyle name="Normal 9" xfId="431"/>
    <cellStyle name="Normal 9 2" xfId="432"/>
    <cellStyle name="Percent" xfId="815" builtinId="5"/>
    <cellStyle name="Percent 10" xfId="433"/>
    <cellStyle name="Percent 10 2" xfId="434"/>
    <cellStyle name="Percent 10 3" xfId="435"/>
    <cellStyle name="Percent 10 3 2" xfId="436"/>
    <cellStyle name="Percent 10 3 3" xfId="437"/>
    <cellStyle name="Percent 10 3 3 2" xfId="438"/>
    <cellStyle name="Percent 11" xfId="439"/>
    <cellStyle name="Percent 11 2" xfId="440"/>
    <cellStyle name="Percent 11 3" xfId="441"/>
    <cellStyle name="Percent 11 3 2" xfId="442"/>
    <cellStyle name="Percent 12" xfId="443"/>
    <cellStyle name="Percent 12 2" xfId="444"/>
    <cellStyle name="Percent 12 3" xfId="445"/>
    <cellStyle name="Percent 12 3 2" xfId="446"/>
    <cellStyle name="Percent 13" xfId="447"/>
    <cellStyle name="Percent 13 2" xfId="448"/>
    <cellStyle name="Percent 13 3" xfId="449"/>
    <cellStyle name="Percent 13 3 2" xfId="450"/>
    <cellStyle name="Percent 14" xfId="451"/>
    <cellStyle name="Percent 14 2" xfId="452"/>
    <cellStyle name="Percent 14 3" xfId="453"/>
    <cellStyle name="Percent 14 3 2" xfId="454"/>
    <cellStyle name="Percent 15" xfId="455"/>
    <cellStyle name="Percent 15 2" xfId="456"/>
    <cellStyle name="Percent 15 3" xfId="457"/>
    <cellStyle name="Percent 15 3 2" xfId="458"/>
    <cellStyle name="Percent 16" xfId="459"/>
    <cellStyle name="Percent 16 2" xfId="460"/>
    <cellStyle name="Percent 16 3" xfId="461"/>
    <cellStyle name="Percent 16 3 2" xfId="462"/>
    <cellStyle name="Percent 17" xfId="463"/>
    <cellStyle name="Percent 17 2" xfId="464"/>
    <cellStyle name="Percent 17 3" xfId="465"/>
    <cellStyle name="Percent 17 3 2" xfId="466"/>
    <cellStyle name="Percent 18" xfId="467"/>
    <cellStyle name="Percent 18 2" xfId="468"/>
    <cellStyle name="Percent 18 3" xfId="469"/>
    <cellStyle name="Percent 18 3 2" xfId="470"/>
    <cellStyle name="Percent 19" xfId="471"/>
    <cellStyle name="Percent 19 2" xfId="472"/>
    <cellStyle name="Percent 19 3" xfId="473"/>
    <cellStyle name="Percent 19 3 2" xfId="474"/>
    <cellStyle name="Percent 2" xfId="475"/>
    <cellStyle name="Percent 2 2" xfId="476"/>
    <cellStyle name="Percent 2 2 2" xfId="477"/>
    <cellStyle name="Percent 2 2 2 2" xfId="478"/>
    <cellStyle name="Percent 2 2 2 3" xfId="479"/>
    <cellStyle name="Percent 2 2 2 3 2" xfId="480"/>
    <cellStyle name="Percent 2 2 2 3 3" xfId="481"/>
    <cellStyle name="Percent 2 2 2 3 3 2" xfId="482"/>
    <cellStyle name="Percent 2 2 2 3 3 3" xfId="483"/>
    <cellStyle name="Percent 2 2 2 3 3 4" xfId="484"/>
    <cellStyle name="Percent 2 2 2 3 4" xfId="485"/>
    <cellStyle name="Percent 2 2 2 3 4 2" xfId="486"/>
    <cellStyle name="Percent 2 2 2 3 4 2 2" xfId="487"/>
    <cellStyle name="Percent 2 2 2 3 4 2 3" xfId="488"/>
    <cellStyle name="Percent 2 2 2 3 4 2 3 2" xfId="489"/>
    <cellStyle name="Percent 2 2 2 3 4 3" xfId="490"/>
    <cellStyle name="Percent 2 2 2 3 5" xfId="491"/>
    <cellStyle name="Percent 2 2 2 3 5 2" xfId="492"/>
    <cellStyle name="Percent 2 2 2 3 5 3" xfId="493"/>
    <cellStyle name="Percent 2 2 2 3 5 3 2" xfId="494"/>
    <cellStyle name="Percent 2 2 2 3 6" xfId="495"/>
    <cellStyle name="Percent 2 2 2 3 7" xfId="496"/>
    <cellStyle name="Percent 2 2 2 3 7 2" xfId="497"/>
    <cellStyle name="Percent 2 2 2 4" xfId="498"/>
    <cellStyle name="Percent 2 2 2 4 2" xfId="499"/>
    <cellStyle name="Percent 2 2 2 4 2 2" xfId="500"/>
    <cellStyle name="Percent 2 2 2 4 2 3" xfId="501"/>
    <cellStyle name="Percent 2 2 2 4 2 3 2" xfId="502"/>
    <cellStyle name="Percent 2 2 2 4 3" xfId="503"/>
    <cellStyle name="Percent 2 2 2 5" xfId="504"/>
    <cellStyle name="Percent 2 2 2 5 2" xfId="505"/>
    <cellStyle name="Percent 2 2 2 5 3" xfId="506"/>
    <cellStyle name="Percent 2 2 2 5 3 2" xfId="507"/>
    <cellStyle name="Percent 2 2 2 6" xfId="508"/>
    <cellStyle name="Percent 2 2 2 6 2" xfId="509"/>
    <cellStyle name="Percent 2 2 3" xfId="510"/>
    <cellStyle name="Percent 2 2 3 2" xfId="511"/>
    <cellStyle name="Percent 2 2 3 3" xfId="512"/>
    <cellStyle name="Percent 2 2 3 4" xfId="513"/>
    <cellStyle name="Percent 2 3" xfId="514"/>
    <cellStyle name="Percent 2 4" xfId="515"/>
    <cellStyle name="Percent 2 4 10" xfId="516"/>
    <cellStyle name="Percent 2 4 11" xfId="517"/>
    <cellStyle name="Percent 2 4 11 2" xfId="518"/>
    <cellStyle name="Percent 2 4 11 2 2" xfId="519"/>
    <cellStyle name="Percent 2 4 11 2 3" xfId="520"/>
    <cellStyle name="Percent 2 4 11 2 3 2" xfId="521"/>
    <cellStyle name="Percent 2 4 2" xfId="522"/>
    <cellStyle name="Percent 2 4 3" xfId="523"/>
    <cellStyle name="Percent 2 4 4" xfId="524"/>
    <cellStyle name="Percent 2 4 5" xfId="525"/>
    <cellStyle name="Percent 2 4 5 2" xfId="526"/>
    <cellStyle name="Percent 2 4 5 2 2" xfId="527"/>
    <cellStyle name="Percent 2 4 5 2 3" xfId="528"/>
    <cellStyle name="Percent 2 4 6" xfId="529"/>
    <cellStyle name="Percent 2 4 7" xfId="530"/>
    <cellStyle name="Percent 2 4 8" xfId="531"/>
    <cellStyle name="Percent 2 4 9" xfId="532"/>
    <cellStyle name="Percent 2 4 9 2" xfId="533"/>
    <cellStyle name="Percent 2 4 9 2 2" xfId="534"/>
    <cellStyle name="Percent 2 4 9 2 3" xfId="535"/>
    <cellStyle name="Percent 2 4 9 2 3 2" xfId="536"/>
    <cellStyle name="Percent 2 5" xfId="537"/>
    <cellStyle name="Percent 2 5 2" xfId="538"/>
    <cellStyle name="Percent 2 5 2 2" xfId="539"/>
    <cellStyle name="Percent 2 5 3" xfId="540"/>
    <cellStyle name="Percent 20" xfId="541"/>
    <cellStyle name="Percent 20 2" xfId="542"/>
    <cellStyle name="Percent 20 3" xfId="543"/>
    <cellStyle name="Percent 20 3 2" xfId="544"/>
    <cellStyle name="Percent 21" xfId="545"/>
    <cellStyle name="Percent 21 2" xfId="546"/>
    <cellStyle name="Percent 21 3" xfId="547"/>
    <cellStyle name="Percent 21 3 2" xfId="548"/>
    <cellStyle name="Percent 22" xfId="549"/>
    <cellStyle name="Percent 22 2" xfId="550"/>
    <cellStyle name="Percent 23" xfId="551"/>
    <cellStyle name="Percent 23 2" xfId="552"/>
    <cellStyle name="Percent 24" xfId="553"/>
    <cellStyle name="Percent 25" xfId="554"/>
    <cellStyle name="Percent 25 2" xfId="555"/>
    <cellStyle name="Percent 25 3" xfId="556"/>
    <cellStyle name="Percent 25 3 2" xfId="557"/>
    <cellStyle name="Percent 26" xfId="558"/>
    <cellStyle name="Percent 27" xfId="559"/>
    <cellStyle name="Percent 27 2" xfId="560"/>
    <cellStyle name="Percent 28" xfId="561"/>
    <cellStyle name="Percent 28 2" xfId="562"/>
    <cellStyle name="Percent 28 3" xfId="830"/>
    <cellStyle name="Percent 29" xfId="563"/>
    <cellStyle name="Percent 3" xfId="4"/>
    <cellStyle name="Percent 3 2" xfId="564"/>
    <cellStyle name="Percent 3 2 2" xfId="565"/>
    <cellStyle name="Percent 3 2 3" xfId="566"/>
    <cellStyle name="Percent 3 2 3 2" xfId="567"/>
    <cellStyle name="Percent 3 2 3 3" xfId="568"/>
    <cellStyle name="Percent 3 2 3 4" xfId="569"/>
    <cellStyle name="Percent 3 2 4" xfId="570"/>
    <cellStyle name="Percent 3 2 4 2" xfId="571"/>
    <cellStyle name="Percent 3 2 4 2 2" xfId="572"/>
    <cellStyle name="Percent 3 2 4 2 3" xfId="573"/>
    <cellStyle name="Percent 3 2 4 2 3 2" xfId="574"/>
    <cellStyle name="Percent 3 2 4 3" xfId="575"/>
    <cellStyle name="Percent 3 2 5" xfId="576"/>
    <cellStyle name="Percent 3 2 5 2" xfId="577"/>
    <cellStyle name="Percent 3 2 5 3" xfId="578"/>
    <cellStyle name="Percent 3 2 5 3 2" xfId="579"/>
    <cellStyle name="Percent 3 2 6" xfId="580"/>
    <cellStyle name="Percent 3 2 7" xfId="581"/>
    <cellStyle name="Percent 3 2 7 2" xfId="582"/>
    <cellStyle name="Percent 3 3" xfId="583"/>
    <cellStyle name="Percent 3 4" xfId="584"/>
    <cellStyle name="Percent 3 5" xfId="585"/>
    <cellStyle name="Percent 3 5 2" xfId="586"/>
    <cellStyle name="Percent 3 5 3" xfId="587"/>
    <cellStyle name="Percent 3 5 4" xfId="588"/>
    <cellStyle name="Percent 3 6" xfId="589"/>
    <cellStyle name="Percent 3 6 2" xfId="590"/>
    <cellStyle name="Percent 3 7" xfId="591"/>
    <cellStyle name="Percent 30" xfId="822"/>
    <cellStyle name="Percent 4" xfId="592"/>
    <cellStyle name="Percent 4 2" xfId="593"/>
    <cellStyle name="Percent 4 3" xfId="594"/>
    <cellStyle name="Percent 4 3 2" xfId="595"/>
    <cellStyle name="Percent 4 3 3" xfId="596"/>
    <cellStyle name="Percent 4 3 4" xfId="597"/>
    <cellStyle name="Percent 4 4" xfId="598"/>
    <cellStyle name="Percent 4 4 2" xfId="599"/>
    <cellStyle name="Percent 4 4 2 2" xfId="600"/>
    <cellStyle name="Percent 4 4 2 3" xfId="601"/>
    <cellStyle name="Percent 4 4 2 3 2" xfId="602"/>
    <cellStyle name="Percent 4 4 3" xfId="603"/>
    <cellStyle name="Percent 4 5" xfId="604"/>
    <cellStyle name="Percent 4 5 2" xfId="605"/>
    <cellStyle name="Percent 4 5 3" xfId="606"/>
    <cellStyle name="Percent 4 5 3 2" xfId="607"/>
    <cellStyle name="Percent 4 6" xfId="608"/>
    <cellStyle name="Percent 4 7" xfId="609"/>
    <cellStyle name="Percent 4 7 2" xfId="610"/>
    <cellStyle name="Percent 5" xfId="611"/>
    <cellStyle name="Percent 5 2" xfId="612"/>
    <cellStyle name="Percent 5 3" xfId="613"/>
    <cellStyle name="Percent 5 3 2" xfId="614"/>
    <cellStyle name="Percent 5 3 3" xfId="615"/>
    <cellStyle name="Percent 5 4" xfId="616"/>
    <cellStyle name="Percent 5 4 2" xfId="617"/>
    <cellStyle name="Percent 5 4 3" xfId="618"/>
    <cellStyle name="Percent 5 4 4" xfId="619"/>
    <cellStyle name="Percent 5 5" xfId="620"/>
    <cellStyle name="Percent 5 5 2" xfId="621"/>
    <cellStyle name="Percent 5 5 2 2" xfId="622"/>
    <cellStyle name="Percent 5 5 2 3" xfId="623"/>
    <cellStyle name="Percent 5 5 2 3 2" xfId="624"/>
    <cellStyle name="Percent 5 5 3" xfId="625"/>
    <cellStyle name="Percent 5 6" xfId="626"/>
    <cellStyle name="Percent 5 6 2" xfId="627"/>
    <cellStyle name="Percent 5 6 3" xfId="628"/>
    <cellStyle name="Percent 5 6 3 2" xfId="629"/>
    <cellStyle name="Percent 5 7" xfId="630"/>
    <cellStyle name="Percent 5 8" xfId="631"/>
    <cellStyle name="Percent 5 8 2" xfId="632"/>
    <cellStyle name="Percent 5 9" xfId="633"/>
    <cellStyle name="Percent 5 9 2" xfId="634"/>
    <cellStyle name="Percent 5 9 3" xfId="635"/>
    <cellStyle name="Percent 5 9 3 2" xfId="636"/>
    <cellStyle name="Percent 6" xfId="637"/>
    <cellStyle name="Percent 6 10" xfId="638"/>
    <cellStyle name="Percent 6 11" xfId="639"/>
    <cellStyle name="Percent 6 11 2" xfId="640"/>
    <cellStyle name="Percent 6 11 2 2" xfId="641"/>
    <cellStyle name="Percent 6 11 2 3" xfId="642"/>
    <cellStyle name="Percent 6 11 2 3 2" xfId="643"/>
    <cellStyle name="Percent 6 12" xfId="644"/>
    <cellStyle name="Percent 6 13" xfId="645"/>
    <cellStyle name="Percent 6 13 2" xfId="646"/>
    <cellStyle name="Percent 6 13 2 2" xfId="647"/>
    <cellStyle name="Percent 6 13 2 3" xfId="648"/>
    <cellStyle name="Percent 6 13 2 3 2" xfId="649"/>
    <cellStyle name="Percent 6 14" xfId="650"/>
    <cellStyle name="Percent 6 14 2" xfId="651"/>
    <cellStyle name="Percent 6 15" xfId="652"/>
    <cellStyle name="Percent 6 16" xfId="653"/>
    <cellStyle name="Percent 6 16 2" xfId="654"/>
    <cellStyle name="Percent 6 2" xfId="655"/>
    <cellStyle name="Percent 6 3" xfId="656"/>
    <cellStyle name="Percent 6 4" xfId="657"/>
    <cellStyle name="Percent 6 5" xfId="658"/>
    <cellStyle name="Percent 6 6" xfId="659"/>
    <cellStyle name="Percent 6 7" xfId="660"/>
    <cellStyle name="Percent 6 7 2" xfId="661"/>
    <cellStyle name="Percent 6 7 2 2" xfId="662"/>
    <cellStyle name="Percent 6 7 2 3" xfId="663"/>
    <cellStyle name="Percent 6 8" xfId="664"/>
    <cellStyle name="Percent 6 9" xfId="665"/>
    <cellStyle name="Percent 7" xfId="666"/>
    <cellStyle name="Percent 7 10" xfId="667"/>
    <cellStyle name="Percent 7 11" xfId="668"/>
    <cellStyle name="Percent 7 11 2" xfId="669"/>
    <cellStyle name="Percent 7 11 2 2" xfId="670"/>
    <cellStyle name="Percent 7 11 2 3" xfId="671"/>
    <cellStyle name="Percent 7 11 2 3 2" xfId="672"/>
    <cellStyle name="Percent 7 12" xfId="673"/>
    <cellStyle name="Percent 7 12 2" xfId="674"/>
    <cellStyle name="Percent 7 13" xfId="675"/>
    <cellStyle name="Percent 7 14" xfId="676"/>
    <cellStyle name="Percent 7 14 2" xfId="677"/>
    <cellStyle name="Percent 7 2" xfId="678"/>
    <cellStyle name="Percent 7 3" xfId="679"/>
    <cellStyle name="Percent 7 4" xfId="680"/>
    <cellStyle name="Percent 7 5" xfId="681"/>
    <cellStyle name="Percent 7 5 2" xfId="682"/>
    <cellStyle name="Percent 7 5 2 2" xfId="683"/>
    <cellStyle name="Percent 7 5 2 3" xfId="684"/>
    <cellStyle name="Percent 7 5 2 4" xfId="685"/>
    <cellStyle name="Percent 7 6" xfId="686"/>
    <cellStyle name="Percent 7 7" xfId="687"/>
    <cellStyle name="Percent 7 8" xfId="688"/>
    <cellStyle name="Percent 7 9" xfId="689"/>
    <cellStyle name="Percent 7 9 2" xfId="690"/>
    <cellStyle name="Percent 7 9 2 2" xfId="691"/>
    <cellStyle name="Percent 7 9 2 3" xfId="692"/>
    <cellStyle name="Percent 7 9 2 3 2" xfId="693"/>
    <cellStyle name="Percent 8" xfId="694"/>
    <cellStyle name="Percent 8 2" xfId="695"/>
    <cellStyle name="Percent 8 3" xfId="696"/>
    <cellStyle name="Percent 8 4" xfId="697"/>
    <cellStyle name="Percent 8 5" xfId="698"/>
    <cellStyle name="Percent 9" xfId="699"/>
    <cellStyle name="Percent 9 2" xfId="700"/>
    <cellStyle name="Percent 9 3" xfId="701"/>
    <cellStyle name="Percent 9 4" xfId="702"/>
    <cellStyle name="Percent 9 5" xfId="703"/>
    <cellStyle name="PSChar" xfId="704"/>
    <cellStyle name="PSChar 10" xfId="828"/>
    <cellStyle name="PSChar 2" xfId="705"/>
    <cellStyle name="PSChar 2 2" xfId="706"/>
    <cellStyle name="PSChar 2 2 2" xfId="707"/>
    <cellStyle name="PSChar 3" xfId="708"/>
    <cellStyle name="PSChar 3 2" xfId="709"/>
    <cellStyle name="PSChar 4" xfId="710"/>
    <cellStyle name="PSChar 4 2" xfId="711"/>
    <cellStyle name="PSChar 5" xfId="712"/>
    <cellStyle name="PSChar 5 2" xfId="713"/>
    <cellStyle name="PSChar 5 3" xfId="714"/>
    <cellStyle name="PSChar 5 3 2" xfId="715"/>
    <cellStyle name="PSChar 6" xfId="716"/>
    <cellStyle name="PSChar 6 2" xfId="717"/>
    <cellStyle name="PSChar 7" xfId="718"/>
    <cellStyle name="PSChar 8" xfId="719"/>
    <cellStyle name="PSChar 8 2" xfId="720"/>
    <cellStyle name="PSChar 9" xfId="721"/>
    <cellStyle name="PSChar 9 2" xfId="722"/>
    <cellStyle name="PSDate" xfId="723"/>
    <cellStyle name="PSDate 2" xfId="724"/>
    <cellStyle name="PSDate 2 2" xfId="725"/>
    <cellStyle name="PSDate 2 2 2" xfId="726"/>
    <cellStyle name="PSDate 3" xfId="727"/>
    <cellStyle name="PSDate 3 2" xfId="728"/>
    <cellStyle name="PSDate 4" xfId="729"/>
    <cellStyle name="PSDate 4 2" xfId="730"/>
    <cellStyle name="PSDate 5" xfId="731"/>
    <cellStyle name="PSDate 5 2" xfId="732"/>
    <cellStyle name="PSDate 5 3" xfId="733"/>
    <cellStyle name="PSDate 5 3 2" xfId="734"/>
    <cellStyle name="PSDate 6" xfId="735"/>
    <cellStyle name="PSDate 6 2" xfId="736"/>
    <cellStyle name="PSDate 7" xfId="737"/>
    <cellStyle name="PSDate 8" xfId="738"/>
    <cellStyle name="PSDate 8 2" xfId="739"/>
    <cellStyle name="PSDate 9" xfId="827"/>
    <cellStyle name="PSDec" xfId="740"/>
    <cellStyle name="PSDec 10" xfId="826"/>
    <cellStyle name="PSDec 2" xfId="741"/>
    <cellStyle name="PSDec 2 2" xfId="742"/>
    <cellStyle name="PSDec 2 2 2" xfId="743"/>
    <cellStyle name="PSDec 3" xfId="744"/>
    <cellStyle name="PSDec 3 2" xfId="745"/>
    <cellStyle name="PSDec 4" xfId="746"/>
    <cellStyle name="PSDec 4 2" xfId="747"/>
    <cellStyle name="PSDec 5" xfId="748"/>
    <cellStyle name="PSDec 5 2" xfId="749"/>
    <cellStyle name="PSDec 5 3" xfId="750"/>
    <cellStyle name="PSDec 5 3 2" xfId="751"/>
    <cellStyle name="PSDec 6" xfId="752"/>
    <cellStyle name="PSDec 6 2" xfId="753"/>
    <cellStyle name="PSDec 7" xfId="754"/>
    <cellStyle name="PSDec 8" xfId="755"/>
    <cellStyle name="PSDec 8 2" xfId="756"/>
    <cellStyle name="PSDec 9" xfId="757"/>
    <cellStyle name="PSDec 9 2" xfId="758"/>
    <cellStyle name="PSHeading" xfId="759"/>
    <cellStyle name="PSHeading 2" xfId="760"/>
    <cellStyle name="PSHeading 2 2" xfId="761"/>
    <cellStyle name="PSHeading 2 2 2" xfId="762"/>
    <cellStyle name="PSHeading 2 2 3" xfId="763"/>
    <cellStyle name="PSHeading 2 2 3 2" xfId="764"/>
    <cellStyle name="PSHeading 3" xfId="765"/>
    <cellStyle name="PSHeading 3 2" xfId="766"/>
    <cellStyle name="PSHeading 3 3" xfId="767"/>
    <cellStyle name="PSHeading 3 3 2" xfId="768"/>
    <cellStyle name="PSHeading 4" xfId="769"/>
    <cellStyle name="PSHeading 4 2" xfId="770"/>
    <cellStyle name="PSHeading 5" xfId="771"/>
    <cellStyle name="PSHeading 5 2" xfId="772"/>
    <cellStyle name="PSHeading 6" xfId="825"/>
    <cellStyle name="PSInt" xfId="773"/>
    <cellStyle name="PSInt 10" xfId="824"/>
    <cellStyle name="PSInt 2" xfId="774"/>
    <cellStyle name="PSInt 2 2" xfId="775"/>
    <cellStyle name="PSInt 2 2 2" xfId="776"/>
    <cellStyle name="PSInt 3" xfId="777"/>
    <cellStyle name="PSInt 3 2" xfId="778"/>
    <cellStyle name="PSInt 4" xfId="779"/>
    <cellStyle name="PSInt 4 2" xfId="780"/>
    <cellStyle name="PSInt 5" xfId="781"/>
    <cellStyle name="PSInt 5 2" xfId="782"/>
    <cellStyle name="PSInt 5 3" xfId="783"/>
    <cellStyle name="PSInt 5 3 2" xfId="784"/>
    <cellStyle name="PSInt 6" xfId="785"/>
    <cellStyle name="PSInt 6 2" xfId="786"/>
    <cellStyle name="PSInt 7" xfId="787"/>
    <cellStyle name="PSInt 8" xfId="788"/>
    <cellStyle name="PSInt 8 2" xfId="789"/>
    <cellStyle name="PSInt 9" xfId="790"/>
    <cellStyle name="PSInt 9 2" xfId="791"/>
    <cellStyle name="PSSpacer" xfId="792"/>
    <cellStyle name="PSSpacer 2" xfId="793"/>
    <cellStyle name="PSSpacer 2 2" xfId="794"/>
    <cellStyle name="PSSpacer 3" xfId="795"/>
    <cellStyle name="PSSpacer 3 2" xfId="796"/>
    <cellStyle name="PSSpacer 4" xfId="797"/>
    <cellStyle name="PSSpacer 4 2" xfId="798"/>
    <cellStyle name="PSSpacer 5" xfId="799"/>
    <cellStyle name="PSSpacer 5 2" xfId="800"/>
    <cellStyle name="PSSpacer 5 3" xfId="801"/>
    <cellStyle name="PSSpacer 5 3 2" xfId="802"/>
    <cellStyle name="PSSpacer 6" xfId="803"/>
    <cellStyle name="PSSpacer 6 2" xfId="804"/>
    <cellStyle name="PSSpacer 7" xfId="805"/>
    <cellStyle name="PSSpacer 8" xfId="806"/>
    <cellStyle name="PSSpacer 8 2" xfId="807"/>
    <cellStyle name="PSSpacer 9" xfId="823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121919</xdr:colOff>
      <xdr:row>1</xdr:row>
      <xdr:rowOff>47625</xdr:rowOff>
    </xdr:from>
    <xdr:to>
      <xdr:col>2</xdr:col>
      <xdr:colOff>727653</xdr:colOff>
      <xdr:row>2</xdr:row>
      <xdr:rowOff>142876</xdr:rowOff>
    </xdr:to>
    <xdr:sp macro="Hide_ZERO_rows" textlink="">
      <xdr:nvSpPr>
        <xdr:cNvPr id="2" name="AutoShape 4"/>
        <xdr:cNvSpPr>
          <a:spLocks noChangeArrowheads="1"/>
        </xdr:cNvSpPr>
      </xdr:nvSpPr>
      <xdr:spPr bwMode="auto">
        <a:xfrm>
          <a:off x="121919" y="47625"/>
          <a:ext cx="1453459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80"/>
  <sheetViews>
    <sheetView zoomScale="90" zoomScaleNormal="90" workbookViewId="0">
      <pane xSplit="1" ySplit="10" topLeftCell="B65" activePane="bottomRight" state="frozen"/>
      <selection activeCell="D1" sqref="D1"/>
      <selection pane="topRight" activeCell="D1" sqref="D1"/>
      <selection pane="bottomLeft" activeCell="D1" sqref="D1"/>
      <selection pane="bottomRight" activeCell="P75" sqref="P75"/>
    </sheetView>
  </sheetViews>
  <sheetFormatPr defaultColWidth="9.109375" defaultRowHeight="15.6" outlineLevelCol="1" x14ac:dyDescent="0.3"/>
  <cols>
    <col min="1" max="1" width="18.44140625" style="383" bestFit="1" customWidth="1"/>
    <col min="2" max="3" width="1.33203125" style="383" customWidth="1" outlineLevel="1"/>
    <col min="4" max="4" width="15.109375" style="383" bestFit="1" customWidth="1" outlineLevel="1"/>
    <col min="5" max="15" width="14.33203125" style="383" bestFit="1" customWidth="1" outlineLevel="1"/>
    <col min="16" max="16" width="16.5546875" style="383" bestFit="1" customWidth="1"/>
    <col min="17" max="16384" width="9.109375" style="383"/>
  </cols>
  <sheetData>
    <row r="1" spans="1:16" x14ac:dyDescent="0.3">
      <c r="A1" s="383" t="s">
        <v>1793</v>
      </c>
      <c r="D1" s="384"/>
    </row>
    <row r="2" spans="1:16" x14ac:dyDescent="0.3">
      <c r="A2" s="383" t="s">
        <v>1794</v>
      </c>
    </row>
    <row r="3" spans="1:16" x14ac:dyDescent="0.3">
      <c r="A3" s="383" t="s">
        <v>1884</v>
      </c>
    </row>
    <row r="4" spans="1:16" x14ac:dyDescent="0.3">
      <c r="A4" s="383" t="s">
        <v>1098</v>
      </c>
    </row>
    <row r="5" spans="1:16" x14ac:dyDescent="0.3">
      <c r="A5" s="383" t="s">
        <v>1795</v>
      </c>
    </row>
    <row r="6" spans="1:16" x14ac:dyDescent="0.3">
      <c r="A6" s="383" t="s">
        <v>1796</v>
      </c>
    </row>
    <row r="7" spans="1:16" x14ac:dyDescent="0.3">
      <c r="D7" s="383">
        <v>2016</v>
      </c>
      <c r="N7" s="383">
        <v>2017</v>
      </c>
      <c r="P7" s="385" t="s">
        <v>1797</v>
      </c>
    </row>
    <row r="8" spans="1:16" x14ac:dyDescent="0.3">
      <c r="A8" s="386" t="s">
        <v>1798</v>
      </c>
      <c r="B8" s="387" t="s">
        <v>1799</v>
      </c>
      <c r="C8" s="387" t="s">
        <v>1800</v>
      </c>
      <c r="D8" s="387" t="s">
        <v>1801</v>
      </c>
      <c r="E8" s="387" t="s">
        <v>1802</v>
      </c>
      <c r="F8" s="387" t="s">
        <v>1803</v>
      </c>
      <c r="G8" s="387" t="s">
        <v>1804</v>
      </c>
      <c r="H8" s="387" t="s">
        <v>1805</v>
      </c>
      <c r="I8" s="387" t="s">
        <v>1806</v>
      </c>
      <c r="J8" s="387" t="s">
        <v>1807</v>
      </c>
      <c r="K8" s="387" t="s">
        <v>1808</v>
      </c>
      <c r="L8" s="387" t="s">
        <v>1809</v>
      </c>
      <c r="M8" s="387" t="s">
        <v>1810</v>
      </c>
      <c r="N8" s="387" t="s">
        <v>1799</v>
      </c>
      <c r="O8" s="387" t="s">
        <v>1800</v>
      </c>
      <c r="P8" s="388" t="s">
        <v>53</v>
      </c>
    </row>
    <row r="9" spans="1:16" x14ac:dyDescent="0.3">
      <c r="A9" s="383" t="s">
        <v>1811</v>
      </c>
      <c r="B9" s="389">
        <v>0.16076099999999999</v>
      </c>
      <c r="C9" s="389">
        <v>9.0403999999999998E-2</v>
      </c>
      <c r="D9" s="389">
        <v>6.4448000000000005E-2</v>
      </c>
      <c r="E9" s="389">
        <v>6.8652000000000005E-2</v>
      </c>
      <c r="F9" s="389">
        <v>9.2831999999999998E-2</v>
      </c>
      <c r="G9" s="389">
        <v>0.16492000000000001</v>
      </c>
      <c r="H9" s="389">
        <v>0.176731</v>
      </c>
      <c r="I9" s="389">
        <v>0.114356</v>
      </c>
      <c r="J9" s="389">
        <v>6.0866999999999997E-2</v>
      </c>
      <c r="K9" s="389">
        <v>6.6489000000000006E-2</v>
      </c>
      <c r="L9" s="389">
        <v>9.9891800000000003E-2</v>
      </c>
      <c r="M9" s="389">
        <v>0.10947900000000001</v>
      </c>
      <c r="N9" s="389">
        <v>9.9044999999999994E-2</v>
      </c>
      <c r="O9" s="389">
        <v>8.3985000000000004E-2</v>
      </c>
    </row>
    <row r="10" spans="1:16" x14ac:dyDescent="0.3">
      <c r="A10" s="383" t="s">
        <v>1812</v>
      </c>
      <c r="B10" s="389">
        <v>0.158607</v>
      </c>
      <c r="C10" s="389">
        <v>0.108172</v>
      </c>
      <c r="D10" s="389">
        <v>0.104944</v>
      </c>
      <c r="E10" s="389">
        <v>0.126914</v>
      </c>
      <c r="F10" s="389">
        <v>0.14402699999999999</v>
      </c>
      <c r="G10" s="389">
        <v>0.24421000000000001</v>
      </c>
      <c r="H10" s="389">
        <v>0.19509799999999999</v>
      </c>
      <c r="I10" s="389">
        <v>0.125171</v>
      </c>
      <c r="J10" s="389">
        <v>7.5484999999999997E-2</v>
      </c>
      <c r="K10" s="389">
        <v>8.4819000000000006E-2</v>
      </c>
      <c r="L10" s="389">
        <v>0.152948</v>
      </c>
      <c r="M10" s="389">
        <v>0.17177300000000001</v>
      </c>
      <c r="N10" s="389">
        <v>0.15867300000000001</v>
      </c>
      <c r="O10" s="389">
        <v>0.13886000000000001</v>
      </c>
    </row>
    <row r="11" spans="1:16" x14ac:dyDescent="0.3">
      <c r="C11" s="389"/>
    </row>
    <row r="12" spans="1:16" x14ac:dyDescent="0.3">
      <c r="B12" s="383" t="s">
        <v>1813</v>
      </c>
    </row>
    <row r="13" spans="1:16" x14ac:dyDescent="0.3">
      <c r="A13" s="390" t="s">
        <v>1814</v>
      </c>
      <c r="B13" s="391">
        <v>4402595.49</v>
      </c>
      <c r="C13" s="391">
        <v>2109503.7400000002</v>
      </c>
      <c r="D13" s="391">
        <v>1023576.64</v>
      </c>
      <c r="E13" s="391">
        <v>1017489.75</v>
      </c>
      <c r="F13" s="391">
        <v>1289672.74</v>
      </c>
      <c r="G13" s="391">
        <v>2496236.42</v>
      </c>
      <c r="H13" s="391">
        <v>3339362.12</v>
      </c>
      <c r="I13" s="391">
        <v>2391441.2000000002</v>
      </c>
      <c r="J13" s="391">
        <v>904507.87</v>
      </c>
      <c r="K13" s="391">
        <v>944342.92</v>
      </c>
      <c r="L13" s="391">
        <v>1652445.05</v>
      </c>
      <c r="M13" s="391">
        <v>2681088.46</v>
      </c>
      <c r="N13" s="391">
        <v>2856233.59</v>
      </c>
      <c r="O13" s="391">
        <v>1407666.05</v>
      </c>
      <c r="P13" s="392">
        <f>SUM(D13:O13)</f>
        <v>22004062.810000002</v>
      </c>
    </row>
    <row r="14" spans="1:16" x14ac:dyDescent="0.3">
      <c r="A14" s="390"/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</row>
    <row r="15" spans="1:16" x14ac:dyDescent="0.3">
      <c r="A15" s="390" t="s">
        <v>1815</v>
      </c>
      <c r="B15" s="391">
        <v>7247.12</v>
      </c>
      <c r="C15" s="391">
        <v>4044.35</v>
      </c>
      <c r="D15" s="391">
        <v>1660.55</v>
      </c>
      <c r="E15" s="391">
        <v>1498.74</v>
      </c>
      <c r="F15" s="391">
        <v>1884.23</v>
      </c>
      <c r="G15" s="391">
        <v>3866.31</v>
      </c>
      <c r="H15" s="391">
        <v>4897.43</v>
      </c>
      <c r="I15" s="391">
        <v>3674.49</v>
      </c>
      <c r="J15" s="391">
        <v>1361.17</v>
      </c>
      <c r="K15" s="391">
        <v>1440.85</v>
      </c>
      <c r="L15" s="391">
        <v>2352.14</v>
      </c>
      <c r="M15" s="391">
        <v>4279</v>
      </c>
      <c r="N15" s="391">
        <v>4769.5600000000004</v>
      </c>
      <c r="O15" s="391">
        <v>2164.62</v>
      </c>
      <c r="P15" s="392">
        <f t="shared" ref="P15" si="0">SUM(D15:O15)</f>
        <v>33849.089999999997</v>
      </c>
    </row>
    <row r="16" spans="1:16" x14ac:dyDescent="0.3">
      <c r="A16" s="390"/>
      <c r="B16" s="393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</row>
    <row r="17" spans="1:16" x14ac:dyDescent="0.3">
      <c r="A17" s="390" t="s">
        <v>1816</v>
      </c>
      <c r="B17" s="391">
        <v>74.11</v>
      </c>
      <c r="C17" s="391">
        <v>50.56</v>
      </c>
      <c r="D17" s="391">
        <v>22.56</v>
      </c>
      <c r="E17" s="391">
        <v>30.72</v>
      </c>
      <c r="F17" s="391">
        <v>42.45</v>
      </c>
      <c r="G17" s="391">
        <v>70.11</v>
      </c>
      <c r="H17" s="391">
        <v>78.010000000000005</v>
      </c>
      <c r="I17" s="391">
        <v>64.53</v>
      </c>
      <c r="J17" s="391">
        <v>21.27</v>
      </c>
      <c r="K17" s="391">
        <v>29.04</v>
      </c>
      <c r="L17" s="391">
        <v>58.88</v>
      </c>
      <c r="M17" s="391">
        <v>73.540000000000006</v>
      </c>
      <c r="N17" s="391">
        <v>136.6</v>
      </c>
      <c r="O17" s="391">
        <v>60.11</v>
      </c>
      <c r="P17" s="392">
        <f t="shared" ref="P17" si="1">SUM(D17:O17)</f>
        <v>687.82</v>
      </c>
    </row>
    <row r="18" spans="1:16" x14ac:dyDescent="0.3">
      <c r="A18" s="390"/>
    </row>
    <row r="19" spans="1:16" x14ac:dyDescent="0.3">
      <c r="A19" s="394" t="s">
        <v>1817</v>
      </c>
      <c r="D19" s="391">
        <v>26203.54</v>
      </c>
      <c r="E19" s="391">
        <v>32945.67</v>
      </c>
      <c r="F19" s="391">
        <v>47788.83</v>
      </c>
      <c r="G19" s="391">
        <v>71928.78</v>
      </c>
      <c r="H19" s="391">
        <v>78996.539999999994</v>
      </c>
      <c r="I19" s="391">
        <v>52292.58</v>
      </c>
      <c r="J19" s="391">
        <v>21830.61</v>
      </c>
      <c r="K19" s="391">
        <v>32003.8</v>
      </c>
      <c r="L19" s="391">
        <v>57633.1</v>
      </c>
      <c r="M19" s="391">
        <v>44693.54</v>
      </c>
      <c r="N19" s="391">
        <v>35006.18</v>
      </c>
      <c r="O19" s="391">
        <v>33484.53</v>
      </c>
      <c r="P19" s="392">
        <f t="shared" ref="P19:P21" si="2">SUM(D19:O19)</f>
        <v>534807.69999999995</v>
      </c>
    </row>
    <row r="20" spans="1:16" x14ac:dyDescent="0.3">
      <c r="A20" s="394" t="s">
        <v>1818</v>
      </c>
      <c r="D20" s="392">
        <v>16994.63</v>
      </c>
      <c r="E20" s="392">
        <v>24774.240000000002</v>
      </c>
      <c r="F20" s="392">
        <v>30720.16</v>
      </c>
      <c r="G20" s="392">
        <v>45463.78</v>
      </c>
      <c r="H20" s="392">
        <v>35560.15</v>
      </c>
      <c r="I20" s="392">
        <v>22815.82</v>
      </c>
      <c r="J20" s="392">
        <v>10452.01</v>
      </c>
      <c r="K20" s="392">
        <v>15470.13</v>
      </c>
      <c r="L20" s="392">
        <v>32625.71</v>
      </c>
      <c r="M20" s="392">
        <v>24784</v>
      </c>
      <c r="N20" s="392">
        <v>20732.52</v>
      </c>
      <c r="O20" s="392">
        <v>21829</v>
      </c>
      <c r="P20" s="392">
        <f t="shared" si="2"/>
        <v>302222.15000000002</v>
      </c>
    </row>
    <row r="21" spans="1:16" x14ac:dyDescent="0.3">
      <c r="A21" s="395" t="s">
        <v>1819</v>
      </c>
      <c r="B21" s="396"/>
      <c r="C21" s="396"/>
      <c r="D21" s="396">
        <f>SUM(D19:D20)</f>
        <v>43198.17</v>
      </c>
      <c r="E21" s="396">
        <f t="shared" ref="E21:O21" si="3">SUM(E19:E20)</f>
        <v>57719.91</v>
      </c>
      <c r="F21" s="396">
        <f t="shared" si="3"/>
        <v>78508.990000000005</v>
      </c>
      <c r="G21" s="396">
        <f t="shared" si="3"/>
        <v>117392.56</v>
      </c>
      <c r="H21" s="396">
        <f t="shared" si="3"/>
        <v>114556.69</v>
      </c>
      <c r="I21" s="396">
        <f t="shared" si="3"/>
        <v>75108.399999999994</v>
      </c>
      <c r="J21" s="396">
        <f t="shared" si="3"/>
        <v>32282.620000000003</v>
      </c>
      <c r="K21" s="396">
        <f t="shared" si="3"/>
        <v>47473.93</v>
      </c>
      <c r="L21" s="396">
        <f t="shared" si="3"/>
        <v>90258.81</v>
      </c>
      <c r="M21" s="396">
        <f t="shared" si="3"/>
        <v>69477.540000000008</v>
      </c>
      <c r="N21" s="396">
        <f t="shared" si="3"/>
        <v>55738.7</v>
      </c>
      <c r="O21" s="396">
        <f t="shared" si="3"/>
        <v>55313.53</v>
      </c>
      <c r="P21" s="392">
        <f t="shared" si="2"/>
        <v>837029.85000000009</v>
      </c>
    </row>
    <row r="22" spans="1:16" x14ac:dyDescent="0.3">
      <c r="A22" s="390"/>
    </row>
    <row r="23" spans="1:16" x14ac:dyDescent="0.3">
      <c r="A23" s="390" t="s">
        <v>1820</v>
      </c>
      <c r="B23" s="392">
        <v>244983.8</v>
      </c>
      <c r="C23" s="392">
        <v>131126.29999999999</v>
      </c>
      <c r="D23" s="392">
        <v>115922.25</v>
      </c>
      <c r="E23" s="392">
        <v>148396.59</v>
      </c>
      <c r="F23" s="392">
        <v>173620.67</v>
      </c>
      <c r="G23" s="392">
        <v>280699.96999999997</v>
      </c>
      <c r="H23" s="392">
        <v>246446.54</v>
      </c>
      <c r="I23" s="392">
        <v>163232.99</v>
      </c>
      <c r="J23" s="392">
        <v>76011.69</v>
      </c>
      <c r="K23" s="392">
        <v>99741.68</v>
      </c>
      <c r="L23" s="392">
        <v>204016.16</v>
      </c>
      <c r="M23" s="392">
        <v>213145.06</v>
      </c>
      <c r="N23" s="392">
        <v>215051.18</v>
      </c>
      <c r="O23" s="392">
        <v>152163.51999999999</v>
      </c>
      <c r="P23" s="392">
        <f t="shared" ref="P23" si="4">SUM(D23:O23)</f>
        <v>2088448.2999999998</v>
      </c>
    </row>
    <row r="24" spans="1:16" x14ac:dyDescent="0.3">
      <c r="A24" s="390"/>
    </row>
    <row r="25" spans="1:16" x14ac:dyDescent="0.3">
      <c r="A25" s="390" t="s">
        <v>1821</v>
      </c>
      <c r="B25" s="392">
        <v>350.21</v>
      </c>
      <c r="C25" s="392">
        <v>220.25</v>
      </c>
      <c r="D25" s="392">
        <v>215.01</v>
      </c>
      <c r="E25" s="392">
        <v>312.38</v>
      </c>
      <c r="F25" s="392">
        <v>367.64</v>
      </c>
      <c r="G25" s="392">
        <v>552.62</v>
      </c>
      <c r="H25" s="392">
        <v>441.4</v>
      </c>
      <c r="I25" s="392">
        <v>300.68</v>
      </c>
      <c r="J25" s="392">
        <v>151.36000000000001</v>
      </c>
      <c r="K25" s="392">
        <v>183.71</v>
      </c>
      <c r="L25" s="392">
        <v>402.25</v>
      </c>
      <c r="M25" s="392">
        <v>388.26</v>
      </c>
      <c r="N25" s="392">
        <v>394.47</v>
      </c>
      <c r="O25" s="392">
        <v>287.05</v>
      </c>
      <c r="P25" s="392">
        <f t="shared" ref="P25" si="5">SUM(D25:O25)</f>
        <v>3996.8300000000008</v>
      </c>
    </row>
    <row r="26" spans="1:16" x14ac:dyDescent="0.3">
      <c r="A26" s="390"/>
    </row>
    <row r="27" spans="1:16" x14ac:dyDescent="0.3">
      <c r="A27" s="390" t="s">
        <v>1822</v>
      </c>
      <c r="B27" s="392">
        <v>1043.48</v>
      </c>
      <c r="C27" s="392">
        <v>447.44</v>
      </c>
      <c r="D27" s="392">
        <v>537.70000000000005</v>
      </c>
      <c r="E27" s="392">
        <v>805.63</v>
      </c>
      <c r="F27" s="392">
        <v>939.88</v>
      </c>
      <c r="G27" s="392">
        <v>2091.29</v>
      </c>
      <c r="H27" s="392">
        <v>1561.88</v>
      </c>
      <c r="I27" s="392">
        <v>997.73</v>
      </c>
      <c r="J27" s="392">
        <v>488.02</v>
      </c>
      <c r="K27" s="392">
        <v>676.49</v>
      </c>
      <c r="L27" s="392">
        <v>1493.03</v>
      </c>
      <c r="M27" s="392">
        <v>1286.6300000000001</v>
      </c>
      <c r="N27" s="392">
        <v>1195.5899999999999</v>
      </c>
      <c r="O27" s="392">
        <v>951.48</v>
      </c>
      <c r="P27" s="392">
        <f t="shared" ref="P27" si="6">SUM(D27:O27)</f>
        <v>13025.350000000002</v>
      </c>
    </row>
    <row r="28" spans="1:16" x14ac:dyDescent="0.3">
      <c r="A28" s="390"/>
    </row>
    <row r="29" spans="1:16" x14ac:dyDescent="0.3">
      <c r="A29" s="390" t="s">
        <v>1823</v>
      </c>
      <c r="B29" s="392">
        <v>13133.63</v>
      </c>
      <c r="C29" s="392">
        <v>1671.85</v>
      </c>
      <c r="D29" s="392">
        <v>4218.83</v>
      </c>
      <c r="E29" s="392">
        <v>6176.32</v>
      </c>
      <c r="F29" s="392">
        <v>7675.61</v>
      </c>
      <c r="G29" s="392">
        <v>10620.81</v>
      </c>
      <c r="H29" s="392">
        <v>8825.6200000000008</v>
      </c>
      <c r="I29" s="392">
        <v>5660.27</v>
      </c>
      <c r="J29" s="392">
        <v>2753.33</v>
      </c>
      <c r="K29" s="392">
        <v>4122.01</v>
      </c>
      <c r="L29" s="392">
        <v>8711.3700000000008</v>
      </c>
      <c r="M29" s="392">
        <v>6855.85</v>
      </c>
      <c r="N29" s="392">
        <v>9601.6</v>
      </c>
      <c r="O29" s="392">
        <v>4733.66</v>
      </c>
      <c r="P29" s="392">
        <f t="shared" ref="P29" si="7">SUM(D29:O29)</f>
        <v>79955.280000000028</v>
      </c>
    </row>
    <row r="30" spans="1:16" x14ac:dyDescent="0.3">
      <c r="A30" s="390"/>
    </row>
    <row r="31" spans="1:16" x14ac:dyDescent="0.3">
      <c r="A31" s="390" t="s">
        <v>1824</v>
      </c>
      <c r="B31" s="392">
        <v>2704.19</v>
      </c>
      <c r="C31" s="392">
        <v>1722.65</v>
      </c>
      <c r="D31" s="392">
        <v>975.41</v>
      </c>
      <c r="E31" s="392">
        <v>1800.15</v>
      </c>
      <c r="F31" s="392">
        <v>2084.5</v>
      </c>
      <c r="G31" s="392">
        <v>2436.81</v>
      </c>
      <c r="H31" s="392">
        <v>1534.42</v>
      </c>
      <c r="I31" s="392">
        <v>1001.81</v>
      </c>
      <c r="J31" s="392">
        <v>731.96</v>
      </c>
      <c r="K31" s="392">
        <v>1065.71</v>
      </c>
      <c r="L31" s="392">
        <v>1931.19</v>
      </c>
      <c r="M31" s="392">
        <v>1764.63</v>
      </c>
      <c r="N31" s="392">
        <v>1773.18</v>
      </c>
      <c r="O31" s="392">
        <v>1190.31</v>
      </c>
      <c r="P31" s="392">
        <f t="shared" ref="P31" si="8">SUM(D31:O31)</f>
        <v>18290.079999999998</v>
      </c>
    </row>
    <row r="32" spans="1:16" x14ac:dyDescent="0.3">
      <c r="A32" s="390"/>
    </row>
    <row r="33" spans="1:16" x14ac:dyDescent="0.3">
      <c r="A33" s="390" t="s">
        <v>1825</v>
      </c>
      <c r="B33" s="392">
        <v>675399.26</v>
      </c>
      <c r="C33" s="392">
        <v>357302.14</v>
      </c>
      <c r="D33" s="392">
        <v>312676.03000000003</v>
      </c>
      <c r="E33" s="392">
        <v>393510.15</v>
      </c>
      <c r="F33" s="392">
        <v>467459.46</v>
      </c>
      <c r="G33" s="392">
        <v>805437.82</v>
      </c>
      <c r="H33" s="392">
        <v>707303.67</v>
      </c>
      <c r="I33" s="392">
        <v>467448.64</v>
      </c>
      <c r="J33" s="392">
        <v>216981.44</v>
      </c>
      <c r="K33" s="392">
        <v>273249.34999999998</v>
      </c>
      <c r="L33" s="392">
        <v>537689.5</v>
      </c>
      <c r="M33" s="392">
        <v>561714.34</v>
      </c>
      <c r="N33" s="392">
        <v>581543.36</v>
      </c>
      <c r="O33" s="392">
        <v>391957.86</v>
      </c>
      <c r="P33" s="392">
        <f t="shared" ref="P33" si="9">SUM(D33:O33)</f>
        <v>5716971.620000001</v>
      </c>
    </row>
    <row r="34" spans="1:16" x14ac:dyDescent="0.3">
      <c r="A34" s="390"/>
    </row>
    <row r="35" spans="1:16" x14ac:dyDescent="0.3">
      <c r="A35" s="390" t="s">
        <v>1826</v>
      </c>
      <c r="B35" s="392">
        <v>1631.49</v>
      </c>
      <c r="C35" s="392">
        <v>1163.4100000000001</v>
      </c>
      <c r="D35" s="392">
        <v>630.89</v>
      </c>
      <c r="E35" s="392">
        <v>452.32</v>
      </c>
      <c r="F35" s="392">
        <v>464.27</v>
      </c>
      <c r="G35" s="392">
        <v>949.22</v>
      </c>
      <c r="H35" s="392">
        <v>1238.98</v>
      </c>
      <c r="I35" s="392">
        <v>827.7</v>
      </c>
      <c r="J35" s="392">
        <v>223.77</v>
      </c>
      <c r="K35" s="392">
        <v>300.70999999999998</v>
      </c>
      <c r="L35" s="392">
        <v>591.55999999999995</v>
      </c>
      <c r="M35" s="392">
        <v>1387.68</v>
      </c>
      <c r="N35" s="392">
        <v>1465.75</v>
      </c>
      <c r="O35" s="392">
        <v>731.91</v>
      </c>
      <c r="P35" s="392">
        <f t="shared" ref="P35" si="10">SUM(D35:O35)</f>
        <v>9264.76</v>
      </c>
    </row>
    <row r="36" spans="1:16" x14ac:dyDescent="0.3">
      <c r="A36" s="390"/>
    </row>
    <row r="37" spans="1:16" x14ac:dyDescent="0.3">
      <c r="A37" s="390" t="s">
        <v>1827</v>
      </c>
      <c r="B37" s="392">
        <v>4648.99</v>
      </c>
      <c r="C37" s="392">
        <v>2520.89</v>
      </c>
      <c r="D37" s="392">
        <v>1825.03</v>
      </c>
      <c r="E37" s="392">
        <v>2609.33</v>
      </c>
      <c r="F37" s="392">
        <v>3012.72</v>
      </c>
      <c r="G37" s="392">
        <v>5372.13</v>
      </c>
      <c r="H37" s="392">
        <v>5055.7</v>
      </c>
      <c r="I37" s="392">
        <v>3268.93</v>
      </c>
      <c r="J37" s="392">
        <v>1536.23</v>
      </c>
      <c r="K37" s="392">
        <v>2057.59</v>
      </c>
      <c r="L37" s="392">
        <v>4266.76</v>
      </c>
      <c r="M37" s="392">
        <v>3595</v>
      </c>
      <c r="N37" s="392">
        <v>4278.55</v>
      </c>
      <c r="O37" s="392">
        <v>2667.53</v>
      </c>
      <c r="P37" s="392">
        <f t="shared" ref="P37" si="11">SUM(D37:O37)</f>
        <v>39545.5</v>
      </c>
    </row>
    <row r="38" spans="1:16" x14ac:dyDescent="0.3">
      <c r="A38" s="390"/>
    </row>
    <row r="39" spans="1:16" x14ac:dyDescent="0.3">
      <c r="A39" s="390" t="s">
        <v>1828</v>
      </c>
      <c r="B39" s="392">
        <v>12208.77</v>
      </c>
      <c r="C39" s="392">
        <v>7696.18</v>
      </c>
      <c r="D39" s="392">
        <v>6242.81</v>
      </c>
      <c r="E39" s="392">
        <v>16886.419999999998</v>
      </c>
      <c r="F39" s="392">
        <v>14433.91</v>
      </c>
      <c r="G39" s="392">
        <v>13262.67</v>
      </c>
      <c r="H39" s="392">
        <v>20768.189999999999</v>
      </c>
      <c r="I39" s="392">
        <v>12266.66</v>
      </c>
      <c r="J39" s="392">
        <v>3293.42</v>
      </c>
      <c r="K39" s="392">
        <v>4719.4399999999996</v>
      </c>
      <c r="L39" s="392">
        <v>10232.4</v>
      </c>
      <c r="M39" s="392">
        <v>10327.34</v>
      </c>
      <c r="N39" s="392">
        <v>11360.34</v>
      </c>
      <c r="O39" s="392">
        <v>6989.72</v>
      </c>
      <c r="P39" s="392">
        <f t="shared" ref="P39" si="12">SUM(D39:O39)</f>
        <v>130783.31999999999</v>
      </c>
    </row>
    <row r="40" spans="1:16" x14ac:dyDescent="0.3">
      <c r="A40" s="390"/>
    </row>
    <row r="41" spans="1:16" x14ac:dyDescent="0.3">
      <c r="A41" s="390" t="s">
        <v>1829</v>
      </c>
      <c r="B41" s="392">
        <v>2532.69</v>
      </c>
      <c r="C41" s="392">
        <v>82.01</v>
      </c>
      <c r="D41" s="392">
        <v>654.24</v>
      </c>
      <c r="E41" s="392">
        <v>2235.02</v>
      </c>
      <c r="F41" s="392">
        <v>1227.96</v>
      </c>
      <c r="G41" s="392">
        <v>2312.59</v>
      </c>
      <c r="H41" s="392">
        <v>1421.11</v>
      </c>
      <c r="I41" s="392">
        <v>695.97</v>
      </c>
      <c r="J41" s="392">
        <v>472.27</v>
      </c>
      <c r="K41" s="392">
        <v>499.25</v>
      </c>
      <c r="L41" s="392">
        <v>2141.3000000000002</v>
      </c>
      <c r="M41" s="392">
        <v>2010.2</v>
      </c>
      <c r="N41" s="392">
        <v>2282.4299999999998</v>
      </c>
      <c r="O41" s="392">
        <v>1827.84</v>
      </c>
      <c r="P41" s="392">
        <f t="shared" ref="P41" si="13">SUM(D41:O41)</f>
        <v>17780.18</v>
      </c>
    </row>
    <row r="42" spans="1:16" x14ac:dyDescent="0.3">
      <c r="A42" s="390"/>
    </row>
    <row r="43" spans="1:16" x14ac:dyDescent="0.3">
      <c r="A43" s="390" t="s">
        <v>1830</v>
      </c>
      <c r="B43" s="392">
        <v>493722.81</v>
      </c>
      <c r="C43" s="392">
        <v>234314.88</v>
      </c>
      <c r="D43" s="392">
        <v>231757.78</v>
      </c>
      <c r="E43" s="392">
        <v>329132.32</v>
      </c>
      <c r="F43" s="392">
        <v>391994.34</v>
      </c>
      <c r="G43" s="392">
        <v>644639.82999999996</v>
      </c>
      <c r="H43" s="392">
        <v>527398.13</v>
      </c>
      <c r="I43" s="392">
        <v>353496.58</v>
      </c>
      <c r="J43" s="392">
        <v>159067.19</v>
      </c>
      <c r="K43" s="392">
        <v>220240.9</v>
      </c>
      <c r="L43" s="392">
        <v>446932.52</v>
      </c>
      <c r="M43" s="392">
        <v>407421.73</v>
      </c>
      <c r="N43" s="392">
        <v>410248.22</v>
      </c>
      <c r="O43" s="392">
        <v>278800.67</v>
      </c>
      <c r="P43" s="392">
        <f t="shared" ref="P43" si="14">SUM(D43:O43)</f>
        <v>4401130.21</v>
      </c>
    </row>
    <row r="44" spans="1:16" x14ac:dyDescent="0.3">
      <c r="A44" s="390"/>
    </row>
    <row r="45" spans="1:16" x14ac:dyDescent="0.3">
      <c r="A45" s="390" t="s">
        <v>1831</v>
      </c>
      <c r="B45" s="392">
        <v>2754.31</v>
      </c>
      <c r="C45" s="392">
        <v>765</v>
      </c>
      <c r="D45" s="392">
        <v>576.11</v>
      </c>
      <c r="E45" s="392">
        <v>940.73</v>
      </c>
      <c r="F45" s="392">
        <v>1983.94</v>
      </c>
      <c r="G45" s="392">
        <v>1454.21</v>
      </c>
      <c r="H45" s="392">
        <v>2293</v>
      </c>
      <c r="I45" s="392">
        <v>1727.39</v>
      </c>
      <c r="J45" s="392">
        <v>984.88</v>
      </c>
      <c r="K45" s="392">
        <v>1237.1400000000001</v>
      </c>
      <c r="L45" s="392">
        <v>2482.65</v>
      </c>
      <c r="M45" s="392">
        <v>2562.12</v>
      </c>
      <c r="N45" s="392">
        <v>3367.79</v>
      </c>
      <c r="O45" s="392">
        <v>535.29</v>
      </c>
      <c r="P45" s="392">
        <f t="shared" ref="P45" si="15">SUM(D45:O45)</f>
        <v>20145.25</v>
      </c>
    </row>
    <row r="46" spans="1:16" x14ac:dyDescent="0.3">
      <c r="A46" s="390"/>
    </row>
    <row r="47" spans="1:16" x14ac:dyDescent="0.3">
      <c r="A47" s="397" t="s">
        <v>1832</v>
      </c>
      <c r="B47" s="392">
        <v>0</v>
      </c>
      <c r="C47" s="392">
        <v>0</v>
      </c>
      <c r="D47" s="392">
        <v>0</v>
      </c>
      <c r="E47" s="392">
        <v>0</v>
      </c>
      <c r="F47" s="392">
        <v>0</v>
      </c>
      <c r="G47" s="392">
        <v>0</v>
      </c>
      <c r="H47" s="392">
        <v>0</v>
      </c>
      <c r="I47" s="392">
        <v>2156.71</v>
      </c>
      <c r="J47" s="392">
        <v>730.75</v>
      </c>
      <c r="K47" s="392">
        <v>1341.36</v>
      </c>
      <c r="L47" s="392">
        <v>2910.52</v>
      </c>
      <c r="M47" s="392">
        <v>2295.81</v>
      </c>
      <c r="N47" s="392">
        <v>2062</v>
      </c>
      <c r="O47" s="392">
        <v>1880.4</v>
      </c>
      <c r="P47" s="392">
        <f t="shared" ref="P47" si="16">SUM(D47:O47)</f>
        <v>13377.55</v>
      </c>
    </row>
    <row r="48" spans="1:16" x14ac:dyDescent="0.3">
      <c r="A48" s="390"/>
    </row>
    <row r="49" spans="1:16" x14ac:dyDescent="0.3">
      <c r="A49" s="390" t="s">
        <v>1833</v>
      </c>
      <c r="B49" s="392">
        <v>83755.27</v>
      </c>
      <c r="C49" s="392">
        <v>41744.35</v>
      </c>
      <c r="D49" s="392">
        <v>33986.949999999997</v>
      </c>
      <c r="E49" s="392">
        <v>54516.47</v>
      </c>
      <c r="F49" s="392">
        <v>61576.38</v>
      </c>
      <c r="G49" s="392">
        <v>97119.039999999994</v>
      </c>
      <c r="H49" s="392">
        <v>80767.13</v>
      </c>
      <c r="I49" s="392">
        <v>51455.4</v>
      </c>
      <c r="J49" s="392">
        <v>24706.52</v>
      </c>
      <c r="K49" s="392">
        <v>35236.99</v>
      </c>
      <c r="L49" s="392">
        <v>76730.960000000006</v>
      </c>
      <c r="M49" s="392">
        <v>77009.850000000006</v>
      </c>
      <c r="N49" s="392">
        <v>67664.95</v>
      </c>
      <c r="O49" s="392">
        <v>58669.1</v>
      </c>
      <c r="P49" s="392">
        <f t="shared" ref="P49" si="17">SUM(D49:O49)</f>
        <v>719439.74</v>
      </c>
    </row>
    <row r="50" spans="1:16" x14ac:dyDescent="0.3">
      <c r="A50" s="390"/>
    </row>
    <row r="51" spans="1:16" x14ac:dyDescent="0.3">
      <c r="A51" s="390" t="s">
        <v>1834</v>
      </c>
      <c r="B51" s="392">
        <v>17306.78</v>
      </c>
      <c r="C51" s="392">
        <v>8678.25</v>
      </c>
      <c r="D51" s="392">
        <v>12784.31</v>
      </c>
      <c r="E51" s="392">
        <v>17324.77</v>
      </c>
      <c r="F51" s="392">
        <v>20128.22</v>
      </c>
      <c r="G51" s="392">
        <v>23964.639999999999</v>
      </c>
      <c r="H51" s="392">
        <v>21790.93</v>
      </c>
      <c r="I51" s="392">
        <v>13879.96</v>
      </c>
      <c r="J51" s="392">
        <v>8430.6</v>
      </c>
      <c r="K51" s="392">
        <v>11630.18</v>
      </c>
      <c r="L51" s="392">
        <v>38720.29</v>
      </c>
      <c r="M51" s="392">
        <v>15421.65</v>
      </c>
      <c r="N51" s="392">
        <v>13615.27</v>
      </c>
      <c r="O51" s="392">
        <v>13948.25</v>
      </c>
      <c r="P51" s="392">
        <f t="shared" ref="P51" si="18">SUM(D51:O51)</f>
        <v>211639.06999999998</v>
      </c>
    </row>
    <row r="52" spans="1:16" x14ac:dyDescent="0.3">
      <c r="A52" s="390"/>
    </row>
    <row r="53" spans="1:16" x14ac:dyDescent="0.3">
      <c r="A53" s="390" t="s">
        <v>1835</v>
      </c>
      <c r="B53" s="392">
        <v>433.04</v>
      </c>
      <c r="C53" s="392">
        <v>249.07</v>
      </c>
      <c r="D53" s="392">
        <v>289.83999999999997</v>
      </c>
      <c r="E53" s="392">
        <v>345.02</v>
      </c>
      <c r="F53" s="392">
        <v>413.42</v>
      </c>
      <c r="G53" s="392">
        <v>1634.79</v>
      </c>
      <c r="H53" s="392">
        <v>530.12</v>
      </c>
      <c r="I53" s="392">
        <v>532.21</v>
      </c>
      <c r="J53" s="392">
        <v>229.96</v>
      </c>
      <c r="K53" s="392">
        <v>339.49</v>
      </c>
      <c r="L53" s="392">
        <v>714.08</v>
      </c>
      <c r="M53" s="392">
        <v>678.77</v>
      </c>
      <c r="N53" s="392">
        <v>611.96</v>
      </c>
      <c r="O53" s="392">
        <v>547.42999999999995</v>
      </c>
      <c r="P53" s="392">
        <f t="shared" ref="P53" si="19">SUM(D53:O53)</f>
        <v>6867.0899999999992</v>
      </c>
    </row>
    <row r="54" spans="1:16" x14ac:dyDescent="0.3">
      <c r="A54" s="390"/>
    </row>
    <row r="55" spans="1:16" x14ac:dyDescent="0.3">
      <c r="A55" s="397" t="s">
        <v>1836</v>
      </c>
      <c r="B55" s="392">
        <v>139359.19</v>
      </c>
      <c r="C55" s="392">
        <v>68905.17</v>
      </c>
      <c r="D55" s="392">
        <v>66576.350000000006</v>
      </c>
      <c r="E55" s="392">
        <v>88567</v>
      </c>
      <c r="F55" s="392">
        <v>106604.49</v>
      </c>
      <c r="G55" s="392">
        <v>153510</v>
      </c>
      <c r="H55" s="392">
        <v>109015.25</v>
      </c>
      <c r="I55" s="392">
        <v>94473.48</v>
      </c>
      <c r="J55" s="392">
        <v>64562.38</v>
      </c>
      <c r="K55" s="392">
        <v>61867.62</v>
      </c>
      <c r="L55" s="392">
        <v>125135.14</v>
      </c>
      <c r="M55" s="392">
        <v>117559.28</v>
      </c>
      <c r="N55" s="392">
        <v>115383.35</v>
      </c>
      <c r="O55" s="392">
        <v>96746.16</v>
      </c>
      <c r="P55" s="392">
        <f t="shared" ref="P55" si="20">SUM(D55:O55)</f>
        <v>1200000.5</v>
      </c>
    </row>
    <row r="56" spans="1:16" x14ac:dyDescent="0.3">
      <c r="A56" s="390"/>
    </row>
    <row r="57" spans="1:16" x14ac:dyDescent="0.3">
      <c r="A57" s="397" t="s">
        <v>1837</v>
      </c>
      <c r="B57" s="392">
        <v>2080.4899999999998</v>
      </c>
      <c r="C57" s="392">
        <v>1225.1199999999999</v>
      </c>
      <c r="D57" s="392">
        <v>1054.04</v>
      </c>
      <c r="E57" s="392">
        <v>1068.25</v>
      </c>
      <c r="F57" s="392">
        <v>1340.03</v>
      </c>
      <c r="G57" s="392">
        <v>2237.42</v>
      </c>
      <c r="H57" s="392">
        <v>1361.71</v>
      </c>
      <c r="I57" s="392">
        <v>1112.44</v>
      </c>
      <c r="J57" s="392">
        <v>851.02</v>
      </c>
      <c r="K57" s="392">
        <v>923.45</v>
      </c>
      <c r="L57" s="392">
        <v>1583.07</v>
      </c>
      <c r="M57" s="392">
        <v>1668.25</v>
      </c>
      <c r="N57" s="392">
        <v>2226.71</v>
      </c>
      <c r="O57" s="392">
        <v>1106.3800000000001</v>
      </c>
      <c r="P57" s="392">
        <f t="shared" ref="P57" si="21">SUM(D57:O57)</f>
        <v>16532.77</v>
      </c>
    </row>
    <row r="58" spans="1:16" x14ac:dyDescent="0.3">
      <c r="A58" s="390"/>
    </row>
    <row r="59" spans="1:16" x14ac:dyDescent="0.3">
      <c r="A59" s="397" t="s">
        <v>1838</v>
      </c>
      <c r="B59" s="392">
        <v>0</v>
      </c>
      <c r="C59" s="392">
        <v>0</v>
      </c>
      <c r="D59" s="392">
        <v>0</v>
      </c>
      <c r="E59" s="392">
        <v>0</v>
      </c>
      <c r="F59" s="392">
        <v>0</v>
      </c>
      <c r="G59" s="392">
        <v>0</v>
      </c>
      <c r="H59" s="392">
        <v>0</v>
      </c>
      <c r="I59" s="392">
        <v>6084.89</v>
      </c>
      <c r="J59" s="392">
        <v>2838.46</v>
      </c>
      <c r="K59" s="392">
        <v>3635.14</v>
      </c>
      <c r="L59" s="392">
        <v>7947.94</v>
      </c>
      <c r="M59" s="392">
        <v>4390.08</v>
      </c>
      <c r="N59" s="392">
        <v>6927.88</v>
      </c>
      <c r="O59" s="392">
        <v>7214.06</v>
      </c>
      <c r="P59" s="392">
        <f t="shared" ref="P59" si="22">SUM(D59:O59)</f>
        <v>39038.450000000004</v>
      </c>
    </row>
    <row r="60" spans="1:16" x14ac:dyDescent="0.3">
      <c r="A60" s="390"/>
    </row>
    <row r="61" spans="1:16" x14ac:dyDescent="0.3">
      <c r="A61" s="397" t="s">
        <v>1839</v>
      </c>
      <c r="B61" s="392">
        <v>0</v>
      </c>
      <c r="C61" s="392">
        <v>0</v>
      </c>
      <c r="D61" s="392">
        <v>0</v>
      </c>
      <c r="E61" s="392">
        <v>0</v>
      </c>
      <c r="F61" s="392">
        <v>0</v>
      </c>
      <c r="G61" s="392">
        <v>0</v>
      </c>
      <c r="H61" s="392">
        <v>0</v>
      </c>
      <c r="I61" s="392">
        <v>0</v>
      </c>
      <c r="J61" s="392">
        <v>46599.75</v>
      </c>
      <c r="K61" s="392">
        <v>27719.09</v>
      </c>
      <c r="L61" s="392">
        <v>47535.1</v>
      </c>
      <c r="M61" s="392">
        <v>43751.49</v>
      </c>
      <c r="N61" s="392">
        <v>18256.39</v>
      </c>
      <c r="O61" s="392">
        <v>38868.75</v>
      </c>
      <c r="P61" s="392">
        <f t="shared" ref="P61" si="23">SUM(D61:O61)</f>
        <v>222730.57</v>
      </c>
    </row>
    <row r="62" spans="1:16" x14ac:dyDescent="0.3">
      <c r="A62" s="390"/>
    </row>
    <row r="63" spans="1:16" x14ac:dyDescent="0.3">
      <c r="A63" s="397" t="s">
        <v>1840</v>
      </c>
      <c r="B63" s="392">
        <v>13079.37</v>
      </c>
      <c r="C63" s="392">
        <v>7441.27</v>
      </c>
      <c r="D63" s="392">
        <v>7543.48</v>
      </c>
      <c r="E63" s="392">
        <v>8969.5400000000009</v>
      </c>
      <c r="F63" s="392">
        <v>10515.69</v>
      </c>
      <c r="G63" s="392">
        <v>16622.3</v>
      </c>
      <c r="H63" s="392">
        <v>12695.04</v>
      </c>
      <c r="I63" s="392">
        <v>8967.24</v>
      </c>
      <c r="J63" s="392">
        <v>4350.24</v>
      </c>
      <c r="K63" s="392">
        <v>6004.56</v>
      </c>
      <c r="L63" s="392">
        <v>12347.47</v>
      </c>
      <c r="M63" s="392">
        <v>11218.14</v>
      </c>
      <c r="N63" s="392">
        <v>12607.16</v>
      </c>
      <c r="O63" s="392">
        <v>8967.85</v>
      </c>
      <c r="P63" s="392">
        <f t="shared" ref="P63" si="24">SUM(D63:O63)</f>
        <v>120808.71</v>
      </c>
    </row>
    <row r="64" spans="1:16" x14ac:dyDescent="0.3">
      <c r="A64" s="390"/>
    </row>
    <row r="65" spans="1:16" x14ac:dyDescent="0.3">
      <c r="A65" s="397" t="s">
        <v>1841</v>
      </c>
      <c r="B65" s="392">
        <v>217824.86</v>
      </c>
      <c r="C65" s="392">
        <v>123328.58</v>
      </c>
      <c r="D65" s="392">
        <v>121918.39999999999</v>
      </c>
      <c r="E65" s="392">
        <v>166759.53</v>
      </c>
      <c r="F65" s="392">
        <v>190154.23</v>
      </c>
      <c r="G65" s="392">
        <v>286793.46000000002</v>
      </c>
      <c r="H65" s="392">
        <v>248000.76</v>
      </c>
      <c r="I65" s="392">
        <v>162288.04</v>
      </c>
      <c r="J65" s="392">
        <v>71871.8</v>
      </c>
      <c r="K65" s="392">
        <v>104207.79</v>
      </c>
      <c r="L65" s="392">
        <v>221179.07</v>
      </c>
      <c r="M65" s="392">
        <v>169127.15</v>
      </c>
      <c r="N65" s="392">
        <v>155587.82</v>
      </c>
      <c r="O65" s="392">
        <v>149540.69</v>
      </c>
      <c r="P65" s="392">
        <f t="shared" ref="P65" si="25">SUM(D65:O65)</f>
        <v>2047428.7400000002</v>
      </c>
    </row>
    <row r="66" spans="1:16" x14ac:dyDescent="0.3">
      <c r="A66" s="390"/>
    </row>
    <row r="67" spans="1:16" x14ac:dyDescent="0.3">
      <c r="A67" s="397" t="s">
        <v>1842</v>
      </c>
      <c r="B67" s="392">
        <v>593670.55000000005</v>
      </c>
      <c r="C67" s="392">
        <v>458971.59</v>
      </c>
      <c r="D67" s="392">
        <v>471370.11</v>
      </c>
      <c r="E67" s="392">
        <v>575157.63</v>
      </c>
      <c r="F67" s="392">
        <v>644521.18000000005</v>
      </c>
      <c r="G67" s="392">
        <v>1082333.1000000001</v>
      </c>
      <c r="H67" s="392">
        <v>833689.14</v>
      </c>
      <c r="I67" s="392">
        <v>537683.31000000006</v>
      </c>
      <c r="J67" s="392">
        <v>252151.03</v>
      </c>
      <c r="K67" s="392">
        <v>317989.59999999998</v>
      </c>
      <c r="L67" s="392">
        <v>652492.96</v>
      </c>
      <c r="M67" s="392">
        <v>695677.76</v>
      </c>
      <c r="N67" s="392">
        <v>480652.13</v>
      </c>
      <c r="O67" s="392">
        <v>554438.86</v>
      </c>
      <c r="P67" s="392">
        <f t="shared" ref="P67" si="26">SUM(D67:O67)</f>
        <v>7098156.8099999996</v>
      </c>
    </row>
    <row r="68" spans="1:16" x14ac:dyDescent="0.3">
      <c r="A68" s="390"/>
    </row>
    <row r="69" spans="1:16" x14ac:dyDescent="0.3">
      <c r="A69" s="397" t="s">
        <v>1843</v>
      </c>
      <c r="B69" s="392">
        <v>120058.15</v>
      </c>
      <c r="C69" s="392">
        <v>60228.59</v>
      </c>
      <c r="D69" s="392">
        <v>84907.01</v>
      </c>
      <c r="E69" s="392">
        <v>103995.79</v>
      </c>
      <c r="F69" s="392">
        <v>108416.24</v>
      </c>
      <c r="G69" s="392">
        <v>171482.78</v>
      </c>
      <c r="H69" s="392">
        <v>150947.82999999999</v>
      </c>
      <c r="I69" s="392">
        <v>80905.09</v>
      </c>
      <c r="J69" s="392">
        <v>43515.6</v>
      </c>
      <c r="K69" s="392">
        <v>61024.35</v>
      </c>
      <c r="L69" s="392">
        <v>127513.04</v>
      </c>
      <c r="M69" s="392">
        <v>107784.37</v>
      </c>
      <c r="N69" s="392">
        <v>63216.57</v>
      </c>
      <c r="O69" s="392">
        <v>94073.43</v>
      </c>
      <c r="P69" s="392">
        <f t="shared" ref="P69" si="27">SUM(D69:O69)</f>
        <v>1197782.0999999999</v>
      </c>
    </row>
    <row r="70" spans="1:16" x14ac:dyDescent="0.3">
      <c r="A70" s="390"/>
    </row>
    <row r="71" spans="1:16" x14ac:dyDescent="0.3">
      <c r="A71" s="390" t="s">
        <v>1844</v>
      </c>
      <c r="B71" s="392">
        <v>14391.3</v>
      </c>
      <c r="C71" s="392">
        <v>10393.64</v>
      </c>
      <c r="D71" s="392">
        <v>10213.93</v>
      </c>
      <c r="E71" s="392">
        <v>12720.54</v>
      </c>
      <c r="F71" s="392">
        <v>14577.41</v>
      </c>
      <c r="G71" s="392">
        <v>25063.48</v>
      </c>
      <c r="H71" s="392">
        <v>20099.21</v>
      </c>
      <c r="I71" s="392">
        <v>12370.89</v>
      </c>
      <c r="J71" s="392">
        <v>7345.76</v>
      </c>
      <c r="K71" s="392">
        <v>8113.14</v>
      </c>
      <c r="L71" s="392">
        <v>14495.38</v>
      </c>
      <c r="M71" s="392">
        <v>16165.82</v>
      </c>
      <c r="N71" s="392">
        <v>13691.27</v>
      </c>
      <c r="O71" s="392">
        <v>13504.3</v>
      </c>
      <c r="P71" s="392">
        <f t="shared" ref="P71" si="28">SUM(D71:O71)</f>
        <v>168361.12999999998</v>
      </c>
    </row>
    <row r="72" spans="1:16" x14ac:dyDescent="0.3">
      <c r="A72" s="390"/>
    </row>
    <row r="73" spans="1:16" x14ac:dyDescent="0.3">
      <c r="A73" s="390" t="s">
        <v>1845</v>
      </c>
      <c r="B73" s="392">
        <v>2550.59</v>
      </c>
      <c r="C73" s="392">
        <v>930.28</v>
      </c>
      <c r="D73" s="392">
        <v>1060.5</v>
      </c>
      <c r="E73" s="392">
        <v>1555.91</v>
      </c>
      <c r="F73" s="392">
        <v>1890.42</v>
      </c>
      <c r="G73" s="392">
        <v>2964.75</v>
      </c>
      <c r="H73" s="392">
        <v>2319.37</v>
      </c>
      <c r="I73" s="392">
        <v>1467.75</v>
      </c>
      <c r="J73" s="392">
        <v>667.38</v>
      </c>
      <c r="K73" s="392">
        <v>1038.97</v>
      </c>
      <c r="L73" s="392">
        <v>2398.0500000000002</v>
      </c>
      <c r="M73" s="392">
        <v>2042.47</v>
      </c>
      <c r="N73" s="392">
        <v>2018.32</v>
      </c>
      <c r="O73" s="392">
        <v>1494.04</v>
      </c>
      <c r="P73" s="392">
        <f t="shared" ref="P73" si="29">SUM(D73:O73)</f>
        <v>20917.93</v>
      </c>
    </row>
    <row r="74" spans="1:16" x14ac:dyDescent="0.3">
      <c r="A74" s="398"/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399"/>
      <c r="P74" s="400"/>
    </row>
    <row r="75" spans="1:16" x14ac:dyDescent="0.3">
      <c r="A75" s="383" t="s">
        <v>53</v>
      </c>
      <c r="B75" s="392">
        <f>SUM(B13:B73)</f>
        <v>7069539.9400000013</v>
      </c>
      <c r="C75" s="392">
        <f t="shared" ref="C75" si="30">SUM(C13:C73)</f>
        <v>3634727.56</v>
      </c>
      <c r="D75" s="392">
        <f>SUM(D13:D73)-D21</f>
        <v>2556394.9300000002</v>
      </c>
      <c r="E75" s="392">
        <f t="shared" ref="E75:O75" si="31">SUM(E13:E73)-E21</f>
        <v>3010976.9299999992</v>
      </c>
      <c r="F75" s="392">
        <f t="shared" si="31"/>
        <v>3595511.02</v>
      </c>
      <c r="G75" s="392">
        <f t="shared" si="31"/>
        <v>6251121.1300000008</v>
      </c>
      <c r="H75" s="392">
        <f t="shared" si="31"/>
        <v>6464399.3799999999</v>
      </c>
      <c r="I75" s="392">
        <f t="shared" si="31"/>
        <v>4454591.38</v>
      </c>
      <c r="J75" s="392">
        <f t="shared" si="31"/>
        <v>1929719.7399999995</v>
      </c>
      <c r="K75" s="392">
        <f t="shared" si="31"/>
        <v>2242452.4500000002</v>
      </c>
      <c r="L75" s="392">
        <f t="shared" si="31"/>
        <v>4297708.6399999997</v>
      </c>
      <c r="M75" s="392">
        <f t="shared" si="31"/>
        <v>5232168.2700000005</v>
      </c>
      <c r="N75" s="392">
        <f t="shared" si="31"/>
        <v>5113962.6899999995</v>
      </c>
      <c r="O75" s="392">
        <f t="shared" si="31"/>
        <v>3349040.8500000006</v>
      </c>
      <c r="P75" s="392">
        <f>SUM(D75:O75)</f>
        <v>48498047.409999996</v>
      </c>
    </row>
    <row r="78" spans="1:16" x14ac:dyDescent="0.3">
      <c r="D78" s="383" t="s">
        <v>56</v>
      </c>
    </row>
    <row r="80" spans="1:16" x14ac:dyDescent="0.3">
      <c r="A80" s="383" t="s">
        <v>1846</v>
      </c>
      <c r="D80" s="383">
        <v>4442634</v>
      </c>
      <c r="E80" s="383">
        <v>5874081</v>
      </c>
      <c r="F80" s="383">
        <v>5290481</v>
      </c>
      <c r="G80" s="383">
        <v>3942548</v>
      </c>
      <c r="H80" s="383">
        <v>2477755</v>
      </c>
      <c r="I80" s="383">
        <v>2980736</v>
      </c>
      <c r="J80" s="383">
        <v>4109125</v>
      </c>
      <c r="K80" s="383">
        <v>4577900</v>
      </c>
      <c r="L80" s="383">
        <v>4165103</v>
      </c>
      <c r="M80" s="383">
        <v>3595412</v>
      </c>
      <c r="N80" s="383">
        <v>3245642</v>
      </c>
      <c r="O80" s="383">
        <v>3238317</v>
      </c>
    </row>
  </sheetData>
  <pageMargins left="0.7" right="0.32" top="0.75" bottom="0.75" header="0.3" footer="0.3"/>
  <pageSetup scale="43" orientation="portrait" r:id="rId1"/>
  <headerFoot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A710"/>
  <sheetViews>
    <sheetView zoomScaleNormal="100" zoomScaleSheetLayoutView="100" workbookViewId="0">
      <pane xSplit="4" ySplit="6" topLeftCell="U492" activePane="bottomRight" state="frozen"/>
      <selection activeCell="A2" sqref="A2"/>
      <selection pane="topRight" activeCell="E2" sqref="E2"/>
      <selection pane="bottomLeft" activeCell="A8" sqref="A8"/>
      <selection pane="bottomRight" activeCell="V515" sqref="V515:V518"/>
    </sheetView>
  </sheetViews>
  <sheetFormatPr defaultRowHeight="13.2" outlineLevelRow="2" outlineLevelCol="1" x14ac:dyDescent="0.25"/>
  <cols>
    <col min="1" max="1" width="17.109375" style="151" hidden="1" customWidth="1"/>
    <col min="2" max="2" width="12.6640625" style="151" customWidth="1"/>
    <col min="3" max="3" width="70.6640625" style="151" customWidth="1"/>
    <col min="4" max="4" width="1" style="164" customWidth="1"/>
    <col min="5" max="5" width="1.109375" style="357" customWidth="1"/>
    <col min="6" max="7" width="21" style="162" customWidth="1"/>
    <col min="8" max="8" width="19.33203125" style="338" customWidth="1" collapsed="1"/>
    <col min="9" max="9" width="12.6640625" style="318" hidden="1" customWidth="1" outlineLevel="1"/>
    <col min="10" max="10" width="2.6640625" style="169" customWidth="1"/>
    <col min="11" max="11" width="19.5546875" style="162" customWidth="1"/>
    <col min="12" max="12" width="18.5546875" style="162" customWidth="1"/>
    <col min="13" max="13" width="19.33203125" style="338" customWidth="1" collapsed="1"/>
    <col min="14" max="14" width="12.6640625" style="318" hidden="1" customWidth="1" outlineLevel="1"/>
    <col min="15" max="15" width="40.33203125" style="170" hidden="1" customWidth="1" outlineLevel="1"/>
    <col min="16" max="16" width="2.6640625" style="169" customWidth="1"/>
    <col min="17" max="18" width="21" style="162" customWidth="1"/>
    <col min="19" max="19" width="19.33203125" style="338" customWidth="1" collapsed="1"/>
    <col min="20" max="20" width="12.6640625" style="318" hidden="1" customWidth="1" outlineLevel="1"/>
    <col min="21" max="21" width="2.6640625" style="169" customWidth="1"/>
    <col min="22" max="23" width="21" style="162" customWidth="1"/>
    <col min="24" max="24" width="19.33203125" style="338" customWidth="1" collapsed="1"/>
    <col min="25" max="25" width="12.6640625" style="318" hidden="1" customWidth="1" outlineLevel="1"/>
    <col min="26" max="26" width="6.33203125" style="148" customWidth="1"/>
    <col min="27" max="27" width="21.88671875" style="311" customWidth="1"/>
    <col min="28" max="28" width="1" style="221" customWidth="1"/>
    <col min="29" max="40" width="21.88671875" style="162" customWidth="1"/>
    <col min="41" max="41" width="1" style="221" customWidth="1"/>
    <col min="42" max="53" width="21.88671875" style="162" customWidth="1"/>
    <col min="54" max="256" width="9.109375" style="151"/>
    <col min="257" max="257" width="0" style="151" hidden="1" customWidth="1"/>
    <col min="258" max="258" width="12.6640625" style="151" customWidth="1"/>
    <col min="259" max="259" width="70.6640625" style="151" customWidth="1"/>
    <col min="260" max="260" width="1" style="151" customWidth="1"/>
    <col min="261" max="261" width="1.109375" style="151" customWidth="1"/>
    <col min="262" max="263" width="21" style="151" customWidth="1"/>
    <col min="264" max="264" width="19.33203125" style="151" customWidth="1"/>
    <col min="265" max="265" width="0" style="151" hidden="1" customWidth="1"/>
    <col min="266" max="266" width="2.6640625" style="151" customWidth="1"/>
    <col min="267" max="267" width="19.5546875" style="151" customWidth="1"/>
    <col min="268" max="268" width="18.5546875" style="151" customWidth="1"/>
    <col min="269" max="269" width="19.33203125" style="151" customWidth="1"/>
    <col min="270" max="271" width="0" style="151" hidden="1" customWidth="1"/>
    <col min="272" max="272" width="2.6640625" style="151" customWidth="1"/>
    <col min="273" max="274" width="21" style="151" customWidth="1"/>
    <col min="275" max="275" width="19.33203125" style="151" customWidth="1"/>
    <col min="276" max="276" width="0" style="151" hidden="1" customWidth="1"/>
    <col min="277" max="277" width="2.6640625" style="151" customWidth="1"/>
    <col min="278" max="279" width="21" style="151" customWidth="1"/>
    <col min="280" max="280" width="19.33203125" style="151" customWidth="1"/>
    <col min="281" max="281" width="0" style="151" hidden="1" customWidth="1"/>
    <col min="282" max="282" width="6.33203125" style="151" customWidth="1"/>
    <col min="283" max="283" width="21.88671875" style="151" customWidth="1"/>
    <col min="284" max="284" width="1" style="151" customWidth="1"/>
    <col min="285" max="296" width="21.88671875" style="151" customWidth="1"/>
    <col min="297" max="297" width="1" style="151" customWidth="1"/>
    <col min="298" max="309" width="21.88671875" style="151" customWidth="1"/>
    <col min="310" max="512" width="9.109375" style="151"/>
    <col min="513" max="513" width="0" style="151" hidden="1" customWidth="1"/>
    <col min="514" max="514" width="12.6640625" style="151" customWidth="1"/>
    <col min="515" max="515" width="70.6640625" style="151" customWidth="1"/>
    <col min="516" max="516" width="1" style="151" customWidth="1"/>
    <col min="517" max="517" width="1.109375" style="151" customWidth="1"/>
    <col min="518" max="519" width="21" style="151" customWidth="1"/>
    <col min="520" max="520" width="19.33203125" style="151" customWidth="1"/>
    <col min="521" max="521" width="0" style="151" hidden="1" customWidth="1"/>
    <col min="522" max="522" width="2.6640625" style="151" customWidth="1"/>
    <col min="523" max="523" width="19.5546875" style="151" customWidth="1"/>
    <col min="524" max="524" width="18.5546875" style="151" customWidth="1"/>
    <col min="525" max="525" width="19.33203125" style="151" customWidth="1"/>
    <col min="526" max="527" width="0" style="151" hidden="1" customWidth="1"/>
    <col min="528" max="528" width="2.6640625" style="151" customWidth="1"/>
    <col min="529" max="530" width="21" style="151" customWidth="1"/>
    <col min="531" max="531" width="19.33203125" style="151" customWidth="1"/>
    <col min="532" max="532" width="0" style="151" hidden="1" customWidth="1"/>
    <col min="533" max="533" width="2.6640625" style="151" customWidth="1"/>
    <col min="534" max="535" width="21" style="151" customWidth="1"/>
    <col min="536" max="536" width="19.33203125" style="151" customWidth="1"/>
    <col min="537" max="537" width="0" style="151" hidden="1" customWidth="1"/>
    <col min="538" max="538" width="6.33203125" style="151" customWidth="1"/>
    <col min="539" max="539" width="21.88671875" style="151" customWidth="1"/>
    <col min="540" max="540" width="1" style="151" customWidth="1"/>
    <col min="541" max="552" width="21.88671875" style="151" customWidth="1"/>
    <col min="553" max="553" width="1" style="151" customWidth="1"/>
    <col min="554" max="565" width="21.88671875" style="151" customWidth="1"/>
    <col min="566" max="768" width="9.109375" style="151"/>
    <col min="769" max="769" width="0" style="151" hidden="1" customWidth="1"/>
    <col min="770" max="770" width="12.6640625" style="151" customWidth="1"/>
    <col min="771" max="771" width="70.6640625" style="151" customWidth="1"/>
    <col min="772" max="772" width="1" style="151" customWidth="1"/>
    <col min="773" max="773" width="1.109375" style="151" customWidth="1"/>
    <col min="774" max="775" width="21" style="151" customWidth="1"/>
    <col min="776" max="776" width="19.33203125" style="151" customWidth="1"/>
    <col min="777" max="777" width="0" style="151" hidden="1" customWidth="1"/>
    <col min="778" max="778" width="2.6640625" style="151" customWidth="1"/>
    <col min="779" max="779" width="19.5546875" style="151" customWidth="1"/>
    <col min="780" max="780" width="18.5546875" style="151" customWidth="1"/>
    <col min="781" max="781" width="19.33203125" style="151" customWidth="1"/>
    <col min="782" max="783" width="0" style="151" hidden="1" customWidth="1"/>
    <col min="784" max="784" width="2.6640625" style="151" customWidth="1"/>
    <col min="785" max="786" width="21" style="151" customWidth="1"/>
    <col min="787" max="787" width="19.33203125" style="151" customWidth="1"/>
    <col min="788" max="788" width="0" style="151" hidden="1" customWidth="1"/>
    <col min="789" max="789" width="2.6640625" style="151" customWidth="1"/>
    <col min="790" max="791" width="21" style="151" customWidth="1"/>
    <col min="792" max="792" width="19.33203125" style="151" customWidth="1"/>
    <col min="793" max="793" width="0" style="151" hidden="1" customWidth="1"/>
    <col min="794" max="794" width="6.33203125" style="151" customWidth="1"/>
    <col min="795" max="795" width="21.88671875" style="151" customWidth="1"/>
    <col min="796" max="796" width="1" style="151" customWidth="1"/>
    <col min="797" max="808" width="21.88671875" style="151" customWidth="1"/>
    <col min="809" max="809" width="1" style="151" customWidth="1"/>
    <col min="810" max="821" width="21.88671875" style="151" customWidth="1"/>
    <col min="822" max="1024" width="9.109375" style="151"/>
    <col min="1025" max="1025" width="0" style="151" hidden="1" customWidth="1"/>
    <col min="1026" max="1026" width="12.6640625" style="151" customWidth="1"/>
    <col min="1027" max="1027" width="70.6640625" style="151" customWidth="1"/>
    <col min="1028" max="1028" width="1" style="151" customWidth="1"/>
    <col min="1029" max="1029" width="1.109375" style="151" customWidth="1"/>
    <col min="1030" max="1031" width="21" style="151" customWidth="1"/>
    <col min="1032" max="1032" width="19.33203125" style="151" customWidth="1"/>
    <col min="1033" max="1033" width="0" style="151" hidden="1" customWidth="1"/>
    <col min="1034" max="1034" width="2.6640625" style="151" customWidth="1"/>
    <col min="1035" max="1035" width="19.5546875" style="151" customWidth="1"/>
    <col min="1036" max="1036" width="18.5546875" style="151" customWidth="1"/>
    <col min="1037" max="1037" width="19.33203125" style="151" customWidth="1"/>
    <col min="1038" max="1039" width="0" style="151" hidden="1" customWidth="1"/>
    <col min="1040" max="1040" width="2.6640625" style="151" customWidth="1"/>
    <col min="1041" max="1042" width="21" style="151" customWidth="1"/>
    <col min="1043" max="1043" width="19.33203125" style="151" customWidth="1"/>
    <col min="1044" max="1044" width="0" style="151" hidden="1" customWidth="1"/>
    <col min="1045" max="1045" width="2.6640625" style="151" customWidth="1"/>
    <col min="1046" max="1047" width="21" style="151" customWidth="1"/>
    <col min="1048" max="1048" width="19.33203125" style="151" customWidth="1"/>
    <col min="1049" max="1049" width="0" style="151" hidden="1" customWidth="1"/>
    <col min="1050" max="1050" width="6.33203125" style="151" customWidth="1"/>
    <col min="1051" max="1051" width="21.88671875" style="151" customWidth="1"/>
    <col min="1052" max="1052" width="1" style="151" customWidth="1"/>
    <col min="1053" max="1064" width="21.88671875" style="151" customWidth="1"/>
    <col min="1065" max="1065" width="1" style="151" customWidth="1"/>
    <col min="1066" max="1077" width="21.88671875" style="151" customWidth="1"/>
    <col min="1078" max="1280" width="9.109375" style="151"/>
    <col min="1281" max="1281" width="0" style="151" hidden="1" customWidth="1"/>
    <col min="1282" max="1282" width="12.6640625" style="151" customWidth="1"/>
    <col min="1283" max="1283" width="70.6640625" style="151" customWidth="1"/>
    <col min="1284" max="1284" width="1" style="151" customWidth="1"/>
    <col min="1285" max="1285" width="1.109375" style="151" customWidth="1"/>
    <col min="1286" max="1287" width="21" style="151" customWidth="1"/>
    <col min="1288" max="1288" width="19.33203125" style="151" customWidth="1"/>
    <col min="1289" max="1289" width="0" style="151" hidden="1" customWidth="1"/>
    <col min="1290" max="1290" width="2.6640625" style="151" customWidth="1"/>
    <col min="1291" max="1291" width="19.5546875" style="151" customWidth="1"/>
    <col min="1292" max="1292" width="18.5546875" style="151" customWidth="1"/>
    <col min="1293" max="1293" width="19.33203125" style="151" customWidth="1"/>
    <col min="1294" max="1295" width="0" style="151" hidden="1" customWidth="1"/>
    <col min="1296" max="1296" width="2.6640625" style="151" customWidth="1"/>
    <col min="1297" max="1298" width="21" style="151" customWidth="1"/>
    <col min="1299" max="1299" width="19.33203125" style="151" customWidth="1"/>
    <col min="1300" max="1300" width="0" style="151" hidden="1" customWidth="1"/>
    <col min="1301" max="1301" width="2.6640625" style="151" customWidth="1"/>
    <col min="1302" max="1303" width="21" style="151" customWidth="1"/>
    <col min="1304" max="1304" width="19.33203125" style="151" customWidth="1"/>
    <col min="1305" max="1305" width="0" style="151" hidden="1" customWidth="1"/>
    <col min="1306" max="1306" width="6.33203125" style="151" customWidth="1"/>
    <col min="1307" max="1307" width="21.88671875" style="151" customWidth="1"/>
    <col min="1308" max="1308" width="1" style="151" customWidth="1"/>
    <col min="1309" max="1320" width="21.88671875" style="151" customWidth="1"/>
    <col min="1321" max="1321" width="1" style="151" customWidth="1"/>
    <col min="1322" max="1333" width="21.88671875" style="151" customWidth="1"/>
    <col min="1334" max="1536" width="9.109375" style="151"/>
    <col min="1537" max="1537" width="0" style="151" hidden="1" customWidth="1"/>
    <col min="1538" max="1538" width="12.6640625" style="151" customWidth="1"/>
    <col min="1539" max="1539" width="70.6640625" style="151" customWidth="1"/>
    <col min="1540" max="1540" width="1" style="151" customWidth="1"/>
    <col min="1541" max="1541" width="1.109375" style="151" customWidth="1"/>
    <col min="1542" max="1543" width="21" style="151" customWidth="1"/>
    <col min="1544" max="1544" width="19.33203125" style="151" customWidth="1"/>
    <col min="1545" max="1545" width="0" style="151" hidden="1" customWidth="1"/>
    <col min="1546" max="1546" width="2.6640625" style="151" customWidth="1"/>
    <col min="1547" max="1547" width="19.5546875" style="151" customWidth="1"/>
    <col min="1548" max="1548" width="18.5546875" style="151" customWidth="1"/>
    <col min="1549" max="1549" width="19.33203125" style="151" customWidth="1"/>
    <col min="1550" max="1551" width="0" style="151" hidden="1" customWidth="1"/>
    <col min="1552" max="1552" width="2.6640625" style="151" customWidth="1"/>
    <col min="1553" max="1554" width="21" style="151" customWidth="1"/>
    <col min="1555" max="1555" width="19.33203125" style="151" customWidth="1"/>
    <col min="1556" max="1556" width="0" style="151" hidden="1" customWidth="1"/>
    <col min="1557" max="1557" width="2.6640625" style="151" customWidth="1"/>
    <col min="1558" max="1559" width="21" style="151" customWidth="1"/>
    <col min="1560" max="1560" width="19.33203125" style="151" customWidth="1"/>
    <col min="1561" max="1561" width="0" style="151" hidden="1" customWidth="1"/>
    <col min="1562" max="1562" width="6.33203125" style="151" customWidth="1"/>
    <col min="1563" max="1563" width="21.88671875" style="151" customWidth="1"/>
    <col min="1564" max="1564" width="1" style="151" customWidth="1"/>
    <col min="1565" max="1576" width="21.88671875" style="151" customWidth="1"/>
    <col min="1577" max="1577" width="1" style="151" customWidth="1"/>
    <col min="1578" max="1589" width="21.88671875" style="151" customWidth="1"/>
    <col min="1590" max="1792" width="9.109375" style="151"/>
    <col min="1793" max="1793" width="0" style="151" hidden="1" customWidth="1"/>
    <col min="1794" max="1794" width="12.6640625" style="151" customWidth="1"/>
    <col min="1795" max="1795" width="70.6640625" style="151" customWidth="1"/>
    <col min="1796" max="1796" width="1" style="151" customWidth="1"/>
    <col min="1797" max="1797" width="1.109375" style="151" customWidth="1"/>
    <col min="1798" max="1799" width="21" style="151" customWidth="1"/>
    <col min="1800" max="1800" width="19.33203125" style="151" customWidth="1"/>
    <col min="1801" max="1801" width="0" style="151" hidden="1" customWidth="1"/>
    <col min="1802" max="1802" width="2.6640625" style="151" customWidth="1"/>
    <col min="1803" max="1803" width="19.5546875" style="151" customWidth="1"/>
    <col min="1804" max="1804" width="18.5546875" style="151" customWidth="1"/>
    <col min="1805" max="1805" width="19.33203125" style="151" customWidth="1"/>
    <col min="1806" max="1807" width="0" style="151" hidden="1" customWidth="1"/>
    <col min="1808" max="1808" width="2.6640625" style="151" customWidth="1"/>
    <col min="1809" max="1810" width="21" style="151" customWidth="1"/>
    <col min="1811" max="1811" width="19.33203125" style="151" customWidth="1"/>
    <col min="1812" max="1812" width="0" style="151" hidden="1" customWidth="1"/>
    <col min="1813" max="1813" width="2.6640625" style="151" customWidth="1"/>
    <col min="1814" max="1815" width="21" style="151" customWidth="1"/>
    <col min="1816" max="1816" width="19.33203125" style="151" customWidth="1"/>
    <col min="1817" max="1817" width="0" style="151" hidden="1" customWidth="1"/>
    <col min="1818" max="1818" width="6.33203125" style="151" customWidth="1"/>
    <col min="1819" max="1819" width="21.88671875" style="151" customWidth="1"/>
    <col min="1820" max="1820" width="1" style="151" customWidth="1"/>
    <col min="1821" max="1832" width="21.88671875" style="151" customWidth="1"/>
    <col min="1833" max="1833" width="1" style="151" customWidth="1"/>
    <col min="1834" max="1845" width="21.88671875" style="151" customWidth="1"/>
    <col min="1846" max="2048" width="9.109375" style="151"/>
    <col min="2049" max="2049" width="0" style="151" hidden="1" customWidth="1"/>
    <col min="2050" max="2050" width="12.6640625" style="151" customWidth="1"/>
    <col min="2051" max="2051" width="70.6640625" style="151" customWidth="1"/>
    <col min="2052" max="2052" width="1" style="151" customWidth="1"/>
    <col min="2053" max="2053" width="1.109375" style="151" customWidth="1"/>
    <col min="2054" max="2055" width="21" style="151" customWidth="1"/>
    <col min="2056" max="2056" width="19.33203125" style="151" customWidth="1"/>
    <col min="2057" max="2057" width="0" style="151" hidden="1" customWidth="1"/>
    <col min="2058" max="2058" width="2.6640625" style="151" customWidth="1"/>
    <col min="2059" max="2059" width="19.5546875" style="151" customWidth="1"/>
    <col min="2060" max="2060" width="18.5546875" style="151" customWidth="1"/>
    <col min="2061" max="2061" width="19.33203125" style="151" customWidth="1"/>
    <col min="2062" max="2063" width="0" style="151" hidden="1" customWidth="1"/>
    <col min="2064" max="2064" width="2.6640625" style="151" customWidth="1"/>
    <col min="2065" max="2066" width="21" style="151" customWidth="1"/>
    <col min="2067" max="2067" width="19.33203125" style="151" customWidth="1"/>
    <col min="2068" max="2068" width="0" style="151" hidden="1" customWidth="1"/>
    <col min="2069" max="2069" width="2.6640625" style="151" customWidth="1"/>
    <col min="2070" max="2071" width="21" style="151" customWidth="1"/>
    <col min="2072" max="2072" width="19.33203125" style="151" customWidth="1"/>
    <col min="2073" max="2073" width="0" style="151" hidden="1" customWidth="1"/>
    <col min="2074" max="2074" width="6.33203125" style="151" customWidth="1"/>
    <col min="2075" max="2075" width="21.88671875" style="151" customWidth="1"/>
    <col min="2076" max="2076" width="1" style="151" customWidth="1"/>
    <col min="2077" max="2088" width="21.88671875" style="151" customWidth="1"/>
    <col min="2089" max="2089" width="1" style="151" customWidth="1"/>
    <col min="2090" max="2101" width="21.88671875" style="151" customWidth="1"/>
    <col min="2102" max="2304" width="9.109375" style="151"/>
    <col min="2305" max="2305" width="0" style="151" hidden="1" customWidth="1"/>
    <col min="2306" max="2306" width="12.6640625" style="151" customWidth="1"/>
    <col min="2307" max="2307" width="70.6640625" style="151" customWidth="1"/>
    <col min="2308" max="2308" width="1" style="151" customWidth="1"/>
    <col min="2309" max="2309" width="1.109375" style="151" customWidth="1"/>
    <col min="2310" max="2311" width="21" style="151" customWidth="1"/>
    <col min="2312" max="2312" width="19.33203125" style="151" customWidth="1"/>
    <col min="2313" max="2313" width="0" style="151" hidden="1" customWidth="1"/>
    <col min="2314" max="2314" width="2.6640625" style="151" customWidth="1"/>
    <col min="2315" max="2315" width="19.5546875" style="151" customWidth="1"/>
    <col min="2316" max="2316" width="18.5546875" style="151" customWidth="1"/>
    <col min="2317" max="2317" width="19.33203125" style="151" customWidth="1"/>
    <col min="2318" max="2319" width="0" style="151" hidden="1" customWidth="1"/>
    <col min="2320" max="2320" width="2.6640625" style="151" customWidth="1"/>
    <col min="2321" max="2322" width="21" style="151" customWidth="1"/>
    <col min="2323" max="2323" width="19.33203125" style="151" customWidth="1"/>
    <col min="2324" max="2324" width="0" style="151" hidden="1" customWidth="1"/>
    <col min="2325" max="2325" width="2.6640625" style="151" customWidth="1"/>
    <col min="2326" max="2327" width="21" style="151" customWidth="1"/>
    <col min="2328" max="2328" width="19.33203125" style="151" customWidth="1"/>
    <col min="2329" max="2329" width="0" style="151" hidden="1" customWidth="1"/>
    <col min="2330" max="2330" width="6.33203125" style="151" customWidth="1"/>
    <col min="2331" max="2331" width="21.88671875" style="151" customWidth="1"/>
    <col min="2332" max="2332" width="1" style="151" customWidth="1"/>
    <col min="2333" max="2344" width="21.88671875" style="151" customWidth="1"/>
    <col min="2345" max="2345" width="1" style="151" customWidth="1"/>
    <col min="2346" max="2357" width="21.88671875" style="151" customWidth="1"/>
    <col min="2358" max="2560" width="9.109375" style="151"/>
    <col min="2561" max="2561" width="0" style="151" hidden="1" customWidth="1"/>
    <col min="2562" max="2562" width="12.6640625" style="151" customWidth="1"/>
    <col min="2563" max="2563" width="70.6640625" style="151" customWidth="1"/>
    <col min="2564" max="2564" width="1" style="151" customWidth="1"/>
    <col min="2565" max="2565" width="1.109375" style="151" customWidth="1"/>
    <col min="2566" max="2567" width="21" style="151" customWidth="1"/>
    <col min="2568" max="2568" width="19.33203125" style="151" customWidth="1"/>
    <col min="2569" max="2569" width="0" style="151" hidden="1" customWidth="1"/>
    <col min="2570" max="2570" width="2.6640625" style="151" customWidth="1"/>
    <col min="2571" max="2571" width="19.5546875" style="151" customWidth="1"/>
    <col min="2572" max="2572" width="18.5546875" style="151" customWidth="1"/>
    <col min="2573" max="2573" width="19.33203125" style="151" customWidth="1"/>
    <col min="2574" max="2575" width="0" style="151" hidden="1" customWidth="1"/>
    <col min="2576" max="2576" width="2.6640625" style="151" customWidth="1"/>
    <col min="2577" max="2578" width="21" style="151" customWidth="1"/>
    <col min="2579" max="2579" width="19.33203125" style="151" customWidth="1"/>
    <col min="2580" max="2580" width="0" style="151" hidden="1" customWidth="1"/>
    <col min="2581" max="2581" width="2.6640625" style="151" customWidth="1"/>
    <col min="2582" max="2583" width="21" style="151" customWidth="1"/>
    <col min="2584" max="2584" width="19.33203125" style="151" customWidth="1"/>
    <col min="2585" max="2585" width="0" style="151" hidden="1" customWidth="1"/>
    <col min="2586" max="2586" width="6.33203125" style="151" customWidth="1"/>
    <col min="2587" max="2587" width="21.88671875" style="151" customWidth="1"/>
    <col min="2588" max="2588" width="1" style="151" customWidth="1"/>
    <col min="2589" max="2600" width="21.88671875" style="151" customWidth="1"/>
    <col min="2601" max="2601" width="1" style="151" customWidth="1"/>
    <col min="2602" max="2613" width="21.88671875" style="151" customWidth="1"/>
    <col min="2614" max="2816" width="9.109375" style="151"/>
    <col min="2817" max="2817" width="0" style="151" hidden="1" customWidth="1"/>
    <col min="2818" max="2818" width="12.6640625" style="151" customWidth="1"/>
    <col min="2819" max="2819" width="70.6640625" style="151" customWidth="1"/>
    <col min="2820" max="2820" width="1" style="151" customWidth="1"/>
    <col min="2821" max="2821" width="1.109375" style="151" customWidth="1"/>
    <col min="2822" max="2823" width="21" style="151" customWidth="1"/>
    <col min="2824" max="2824" width="19.33203125" style="151" customWidth="1"/>
    <col min="2825" max="2825" width="0" style="151" hidden="1" customWidth="1"/>
    <col min="2826" max="2826" width="2.6640625" style="151" customWidth="1"/>
    <col min="2827" max="2827" width="19.5546875" style="151" customWidth="1"/>
    <col min="2828" max="2828" width="18.5546875" style="151" customWidth="1"/>
    <col min="2829" max="2829" width="19.33203125" style="151" customWidth="1"/>
    <col min="2830" max="2831" width="0" style="151" hidden="1" customWidth="1"/>
    <col min="2832" max="2832" width="2.6640625" style="151" customWidth="1"/>
    <col min="2833" max="2834" width="21" style="151" customWidth="1"/>
    <col min="2835" max="2835" width="19.33203125" style="151" customWidth="1"/>
    <col min="2836" max="2836" width="0" style="151" hidden="1" customWidth="1"/>
    <col min="2837" max="2837" width="2.6640625" style="151" customWidth="1"/>
    <col min="2838" max="2839" width="21" style="151" customWidth="1"/>
    <col min="2840" max="2840" width="19.33203125" style="151" customWidth="1"/>
    <col min="2841" max="2841" width="0" style="151" hidden="1" customWidth="1"/>
    <col min="2842" max="2842" width="6.33203125" style="151" customWidth="1"/>
    <col min="2843" max="2843" width="21.88671875" style="151" customWidth="1"/>
    <col min="2844" max="2844" width="1" style="151" customWidth="1"/>
    <col min="2845" max="2856" width="21.88671875" style="151" customWidth="1"/>
    <col min="2857" max="2857" width="1" style="151" customWidth="1"/>
    <col min="2858" max="2869" width="21.88671875" style="151" customWidth="1"/>
    <col min="2870" max="3072" width="9.109375" style="151"/>
    <col min="3073" max="3073" width="0" style="151" hidden="1" customWidth="1"/>
    <col min="3074" max="3074" width="12.6640625" style="151" customWidth="1"/>
    <col min="3075" max="3075" width="70.6640625" style="151" customWidth="1"/>
    <col min="3076" max="3076" width="1" style="151" customWidth="1"/>
    <col min="3077" max="3077" width="1.109375" style="151" customWidth="1"/>
    <col min="3078" max="3079" width="21" style="151" customWidth="1"/>
    <col min="3080" max="3080" width="19.33203125" style="151" customWidth="1"/>
    <col min="3081" max="3081" width="0" style="151" hidden="1" customWidth="1"/>
    <col min="3082" max="3082" width="2.6640625" style="151" customWidth="1"/>
    <col min="3083" max="3083" width="19.5546875" style="151" customWidth="1"/>
    <col min="3084" max="3084" width="18.5546875" style="151" customWidth="1"/>
    <col min="3085" max="3085" width="19.33203125" style="151" customWidth="1"/>
    <col min="3086" max="3087" width="0" style="151" hidden="1" customWidth="1"/>
    <col min="3088" max="3088" width="2.6640625" style="151" customWidth="1"/>
    <col min="3089" max="3090" width="21" style="151" customWidth="1"/>
    <col min="3091" max="3091" width="19.33203125" style="151" customWidth="1"/>
    <col min="3092" max="3092" width="0" style="151" hidden="1" customWidth="1"/>
    <col min="3093" max="3093" width="2.6640625" style="151" customWidth="1"/>
    <col min="3094" max="3095" width="21" style="151" customWidth="1"/>
    <col min="3096" max="3096" width="19.33203125" style="151" customWidth="1"/>
    <col min="3097" max="3097" width="0" style="151" hidden="1" customWidth="1"/>
    <col min="3098" max="3098" width="6.33203125" style="151" customWidth="1"/>
    <col min="3099" max="3099" width="21.88671875" style="151" customWidth="1"/>
    <col min="3100" max="3100" width="1" style="151" customWidth="1"/>
    <col min="3101" max="3112" width="21.88671875" style="151" customWidth="1"/>
    <col min="3113" max="3113" width="1" style="151" customWidth="1"/>
    <col min="3114" max="3125" width="21.88671875" style="151" customWidth="1"/>
    <col min="3126" max="3328" width="9.109375" style="151"/>
    <col min="3329" max="3329" width="0" style="151" hidden="1" customWidth="1"/>
    <col min="3330" max="3330" width="12.6640625" style="151" customWidth="1"/>
    <col min="3331" max="3331" width="70.6640625" style="151" customWidth="1"/>
    <col min="3332" max="3332" width="1" style="151" customWidth="1"/>
    <col min="3333" max="3333" width="1.109375" style="151" customWidth="1"/>
    <col min="3334" max="3335" width="21" style="151" customWidth="1"/>
    <col min="3336" max="3336" width="19.33203125" style="151" customWidth="1"/>
    <col min="3337" max="3337" width="0" style="151" hidden="1" customWidth="1"/>
    <col min="3338" max="3338" width="2.6640625" style="151" customWidth="1"/>
    <col min="3339" max="3339" width="19.5546875" style="151" customWidth="1"/>
    <col min="3340" max="3340" width="18.5546875" style="151" customWidth="1"/>
    <col min="3341" max="3341" width="19.33203125" style="151" customWidth="1"/>
    <col min="3342" max="3343" width="0" style="151" hidden="1" customWidth="1"/>
    <col min="3344" max="3344" width="2.6640625" style="151" customWidth="1"/>
    <col min="3345" max="3346" width="21" style="151" customWidth="1"/>
    <col min="3347" max="3347" width="19.33203125" style="151" customWidth="1"/>
    <col min="3348" max="3348" width="0" style="151" hidden="1" customWidth="1"/>
    <col min="3349" max="3349" width="2.6640625" style="151" customWidth="1"/>
    <col min="3350" max="3351" width="21" style="151" customWidth="1"/>
    <col min="3352" max="3352" width="19.33203125" style="151" customWidth="1"/>
    <col min="3353" max="3353" width="0" style="151" hidden="1" customWidth="1"/>
    <col min="3354" max="3354" width="6.33203125" style="151" customWidth="1"/>
    <col min="3355" max="3355" width="21.88671875" style="151" customWidth="1"/>
    <col min="3356" max="3356" width="1" style="151" customWidth="1"/>
    <col min="3357" max="3368" width="21.88671875" style="151" customWidth="1"/>
    <col min="3369" max="3369" width="1" style="151" customWidth="1"/>
    <col min="3370" max="3381" width="21.88671875" style="151" customWidth="1"/>
    <col min="3382" max="3584" width="9.109375" style="151"/>
    <col min="3585" max="3585" width="0" style="151" hidden="1" customWidth="1"/>
    <col min="3586" max="3586" width="12.6640625" style="151" customWidth="1"/>
    <col min="3587" max="3587" width="70.6640625" style="151" customWidth="1"/>
    <col min="3588" max="3588" width="1" style="151" customWidth="1"/>
    <col min="3589" max="3589" width="1.109375" style="151" customWidth="1"/>
    <col min="3590" max="3591" width="21" style="151" customWidth="1"/>
    <col min="3592" max="3592" width="19.33203125" style="151" customWidth="1"/>
    <col min="3593" max="3593" width="0" style="151" hidden="1" customWidth="1"/>
    <col min="3594" max="3594" width="2.6640625" style="151" customWidth="1"/>
    <col min="3595" max="3595" width="19.5546875" style="151" customWidth="1"/>
    <col min="3596" max="3596" width="18.5546875" style="151" customWidth="1"/>
    <col min="3597" max="3597" width="19.33203125" style="151" customWidth="1"/>
    <col min="3598" max="3599" width="0" style="151" hidden="1" customWidth="1"/>
    <col min="3600" max="3600" width="2.6640625" style="151" customWidth="1"/>
    <col min="3601" max="3602" width="21" style="151" customWidth="1"/>
    <col min="3603" max="3603" width="19.33203125" style="151" customWidth="1"/>
    <col min="3604" max="3604" width="0" style="151" hidden="1" customWidth="1"/>
    <col min="3605" max="3605" width="2.6640625" style="151" customWidth="1"/>
    <col min="3606" max="3607" width="21" style="151" customWidth="1"/>
    <col min="3608" max="3608" width="19.33203125" style="151" customWidth="1"/>
    <col min="3609" max="3609" width="0" style="151" hidden="1" customWidth="1"/>
    <col min="3610" max="3610" width="6.33203125" style="151" customWidth="1"/>
    <col min="3611" max="3611" width="21.88671875" style="151" customWidth="1"/>
    <col min="3612" max="3612" width="1" style="151" customWidth="1"/>
    <col min="3613" max="3624" width="21.88671875" style="151" customWidth="1"/>
    <col min="3625" max="3625" width="1" style="151" customWidth="1"/>
    <col min="3626" max="3637" width="21.88671875" style="151" customWidth="1"/>
    <col min="3638" max="3840" width="9.109375" style="151"/>
    <col min="3841" max="3841" width="0" style="151" hidden="1" customWidth="1"/>
    <col min="3842" max="3842" width="12.6640625" style="151" customWidth="1"/>
    <col min="3843" max="3843" width="70.6640625" style="151" customWidth="1"/>
    <col min="3844" max="3844" width="1" style="151" customWidth="1"/>
    <col min="3845" max="3845" width="1.109375" style="151" customWidth="1"/>
    <col min="3846" max="3847" width="21" style="151" customWidth="1"/>
    <col min="3848" max="3848" width="19.33203125" style="151" customWidth="1"/>
    <col min="3849" max="3849" width="0" style="151" hidden="1" customWidth="1"/>
    <col min="3850" max="3850" width="2.6640625" style="151" customWidth="1"/>
    <col min="3851" max="3851" width="19.5546875" style="151" customWidth="1"/>
    <col min="3852" max="3852" width="18.5546875" style="151" customWidth="1"/>
    <col min="3853" max="3853" width="19.33203125" style="151" customWidth="1"/>
    <col min="3854" max="3855" width="0" style="151" hidden="1" customWidth="1"/>
    <col min="3856" max="3856" width="2.6640625" style="151" customWidth="1"/>
    <col min="3857" max="3858" width="21" style="151" customWidth="1"/>
    <col min="3859" max="3859" width="19.33203125" style="151" customWidth="1"/>
    <col min="3860" max="3860" width="0" style="151" hidden="1" customWidth="1"/>
    <col min="3861" max="3861" width="2.6640625" style="151" customWidth="1"/>
    <col min="3862" max="3863" width="21" style="151" customWidth="1"/>
    <col min="3864" max="3864" width="19.33203125" style="151" customWidth="1"/>
    <col min="3865" max="3865" width="0" style="151" hidden="1" customWidth="1"/>
    <col min="3866" max="3866" width="6.33203125" style="151" customWidth="1"/>
    <col min="3867" max="3867" width="21.88671875" style="151" customWidth="1"/>
    <col min="3868" max="3868" width="1" style="151" customWidth="1"/>
    <col min="3869" max="3880" width="21.88671875" style="151" customWidth="1"/>
    <col min="3881" max="3881" width="1" style="151" customWidth="1"/>
    <col min="3882" max="3893" width="21.88671875" style="151" customWidth="1"/>
    <col min="3894" max="4096" width="9.109375" style="151"/>
    <col min="4097" max="4097" width="0" style="151" hidden="1" customWidth="1"/>
    <col min="4098" max="4098" width="12.6640625" style="151" customWidth="1"/>
    <col min="4099" max="4099" width="70.6640625" style="151" customWidth="1"/>
    <col min="4100" max="4100" width="1" style="151" customWidth="1"/>
    <col min="4101" max="4101" width="1.109375" style="151" customWidth="1"/>
    <col min="4102" max="4103" width="21" style="151" customWidth="1"/>
    <col min="4104" max="4104" width="19.33203125" style="151" customWidth="1"/>
    <col min="4105" max="4105" width="0" style="151" hidden="1" customWidth="1"/>
    <col min="4106" max="4106" width="2.6640625" style="151" customWidth="1"/>
    <col min="4107" max="4107" width="19.5546875" style="151" customWidth="1"/>
    <col min="4108" max="4108" width="18.5546875" style="151" customWidth="1"/>
    <col min="4109" max="4109" width="19.33203125" style="151" customWidth="1"/>
    <col min="4110" max="4111" width="0" style="151" hidden="1" customWidth="1"/>
    <col min="4112" max="4112" width="2.6640625" style="151" customWidth="1"/>
    <col min="4113" max="4114" width="21" style="151" customWidth="1"/>
    <col min="4115" max="4115" width="19.33203125" style="151" customWidth="1"/>
    <col min="4116" max="4116" width="0" style="151" hidden="1" customWidth="1"/>
    <col min="4117" max="4117" width="2.6640625" style="151" customWidth="1"/>
    <col min="4118" max="4119" width="21" style="151" customWidth="1"/>
    <col min="4120" max="4120" width="19.33203125" style="151" customWidth="1"/>
    <col min="4121" max="4121" width="0" style="151" hidden="1" customWidth="1"/>
    <col min="4122" max="4122" width="6.33203125" style="151" customWidth="1"/>
    <col min="4123" max="4123" width="21.88671875" style="151" customWidth="1"/>
    <col min="4124" max="4124" width="1" style="151" customWidth="1"/>
    <col min="4125" max="4136" width="21.88671875" style="151" customWidth="1"/>
    <col min="4137" max="4137" width="1" style="151" customWidth="1"/>
    <col min="4138" max="4149" width="21.88671875" style="151" customWidth="1"/>
    <col min="4150" max="4352" width="9.109375" style="151"/>
    <col min="4353" max="4353" width="0" style="151" hidden="1" customWidth="1"/>
    <col min="4354" max="4354" width="12.6640625" style="151" customWidth="1"/>
    <col min="4355" max="4355" width="70.6640625" style="151" customWidth="1"/>
    <col min="4356" max="4356" width="1" style="151" customWidth="1"/>
    <col min="4357" max="4357" width="1.109375" style="151" customWidth="1"/>
    <col min="4358" max="4359" width="21" style="151" customWidth="1"/>
    <col min="4360" max="4360" width="19.33203125" style="151" customWidth="1"/>
    <col min="4361" max="4361" width="0" style="151" hidden="1" customWidth="1"/>
    <col min="4362" max="4362" width="2.6640625" style="151" customWidth="1"/>
    <col min="4363" max="4363" width="19.5546875" style="151" customWidth="1"/>
    <col min="4364" max="4364" width="18.5546875" style="151" customWidth="1"/>
    <col min="4365" max="4365" width="19.33203125" style="151" customWidth="1"/>
    <col min="4366" max="4367" width="0" style="151" hidden="1" customWidth="1"/>
    <col min="4368" max="4368" width="2.6640625" style="151" customWidth="1"/>
    <col min="4369" max="4370" width="21" style="151" customWidth="1"/>
    <col min="4371" max="4371" width="19.33203125" style="151" customWidth="1"/>
    <col min="4372" max="4372" width="0" style="151" hidden="1" customWidth="1"/>
    <col min="4373" max="4373" width="2.6640625" style="151" customWidth="1"/>
    <col min="4374" max="4375" width="21" style="151" customWidth="1"/>
    <col min="4376" max="4376" width="19.33203125" style="151" customWidth="1"/>
    <col min="4377" max="4377" width="0" style="151" hidden="1" customWidth="1"/>
    <col min="4378" max="4378" width="6.33203125" style="151" customWidth="1"/>
    <col min="4379" max="4379" width="21.88671875" style="151" customWidth="1"/>
    <col min="4380" max="4380" width="1" style="151" customWidth="1"/>
    <col min="4381" max="4392" width="21.88671875" style="151" customWidth="1"/>
    <col min="4393" max="4393" width="1" style="151" customWidth="1"/>
    <col min="4394" max="4405" width="21.88671875" style="151" customWidth="1"/>
    <col min="4406" max="4608" width="9.109375" style="151"/>
    <col min="4609" max="4609" width="0" style="151" hidden="1" customWidth="1"/>
    <col min="4610" max="4610" width="12.6640625" style="151" customWidth="1"/>
    <col min="4611" max="4611" width="70.6640625" style="151" customWidth="1"/>
    <col min="4612" max="4612" width="1" style="151" customWidth="1"/>
    <col min="4613" max="4613" width="1.109375" style="151" customWidth="1"/>
    <col min="4614" max="4615" width="21" style="151" customWidth="1"/>
    <col min="4616" max="4616" width="19.33203125" style="151" customWidth="1"/>
    <col min="4617" max="4617" width="0" style="151" hidden="1" customWidth="1"/>
    <col min="4618" max="4618" width="2.6640625" style="151" customWidth="1"/>
    <col min="4619" max="4619" width="19.5546875" style="151" customWidth="1"/>
    <col min="4620" max="4620" width="18.5546875" style="151" customWidth="1"/>
    <col min="4621" max="4621" width="19.33203125" style="151" customWidth="1"/>
    <col min="4622" max="4623" width="0" style="151" hidden="1" customWidth="1"/>
    <col min="4624" max="4624" width="2.6640625" style="151" customWidth="1"/>
    <col min="4625" max="4626" width="21" style="151" customWidth="1"/>
    <col min="4627" max="4627" width="19.33203125" style="151" customWidth="1"/>
    <col min="4628" max="4628" width="0" style="151" hidden="1" customWidth="1"/>
    <col min="4629" max="4629" width="2.6640625" style="151" customWidth="1"/>
    <col min="4630" max="4631" width="21" style="151" customWidth="1"/>
    <col min="4632" max="4632" width="19.33203125" style="151" customWidth="1"/>
    <col min="4633" max="4633" width="0" style="151" hidden="1" customWidth="1"/>
    <col min="4634" max="4634" width="6.33203125" style="151" customWidth="1"/>
    <col min="4635" max="4635" width="21.88671875" style="151" customWidth="1"/>
    <col min="4636" max="4636" width="1" style="151" customWidth="1"/>
    <col min="4637" max="4648" width="21.88671875" style="151" customWidth="1"/>
    <col min="4649" max="4649" width="1" style="151" customWidth="1"/>
    <col min="4650" max="4661" width="21.88671875" style="151" customWidth="1"/>
    <col min="4662" max="4864" width="9.109375" style="151"/>
    <col min="4865" max="4865" width="0" style="151" hidden="1" customWidth="1"/>
    <col min="4866" max="4866" width="12.6640625" style="151" customWidth="1"/>
    <col min="4867" max="4867" width="70.6640625" style="151" customWidth="1"/>
    <col min="4868" max="4868" width="1" style="151" customWidth="1"/>
    <col min="4869" max="4869" width="1.109375" style="151" customWidth="1"/>
    <col min="4870" max="4871" width="21" style="151" customWidth="1"/>
    <col min="4872" max="4872" width="19.33203125" style="151" customWidth="1"/>
    <col min="4873" max="4873" width="0" style="151" hidden="1" customWidth="1"/>
    <col min="4874" max="4874" width="2.6640625" style="151" customWidth="1"/>
    <col min="4875" max="4875" width="19.5546875" style="151" customWidth="1"/>
    <col min="4876" max="4876" width="18.5546875" style="151" customWidth="1"/>
    <col min="4877" max="4877" width="19.33203125" style="151" customWidth="1"/>
    <col min="4878" max="4879" width="0" style="151" hidden="1" customWidth="1"/>
    <col min="4880" max="4880" width="2.6640625" style="151" customWidth="1"/>
    <col min="4881" max="4882" width="21" style="151" customWidth="1"/>
    <col min="4883" max="4883" width="19.33203125" style="151" customWidth="1"/>
    <col min="4884" max="4884" width="0" style="151" hidden="1" customWidth="1"/>
    <col min="4885" max="4885" width="2.6640625" style="151" customWidth="1"/>
    <col min="4886" max="4887" width="21" style="151" customWidth="1"/>
    <col min="4888" max="4888" width="19.33203125" style="151" customWidth="1"/>
    <col min="4889" max="4889" width="0" style="151" hidden="1" customWidth="1"/>
    <col min="4890" max="4890" width="6.33203125" style="151" customWidth="1"/>
    <col min="4891" max="4891" width="21.88671875" style="151" customWidth="1"/>
    <col min="4892" max="4892" width="1" style="151" customWidth="1"/>
    <col min="4893" max="4904" width="21.88671875" style="151" customWidth="1"/>
    <col min="4905" max="4905" width="1" style="151" customWidth="1"/>
    <col min="4906" max="4917" width="21.88671875" style="151" customWidth="1"/>
    <col min="4918" max="5120" width="9.109375" style="151"/>
    <col min="5121" max="5121" width="0" style="151" hidden="1" customWidth="1"/>
    <col min="5122" max="5122" width="12.6640625" style="151" customWidth="1"/>
    <col min="5123" max="5123" width="70.6640625" style="151" customWidth="1"/>
    <col min="5124" max="5124" width="1" style="151" customWidth="1"/>
    <col min="5125" max="5125" width="1.109375" style="151" customWidth="1"/>
    <col min="5126" max="5127" width="21" style="151" customWidth="1"/>
    <col min="5128" max="5128" width="19.33203125" style="151" customWidth="1"/>
    <col min="5129" max="5129" width="0" style="151" hidden="1" customWidth="1"/>
    <col min="5130" max="5130" width="2.6640625" style="151" customWidth="1"/>
    <col min="5131" max="5131" width="19.5546875" style="151" customWidth="1"/>
    <col min="5132" max="5132" width="18.5546875" style="151" customWidth="1"/>
    <col min="5133" max="5133" width="19.33203125" style="151" customWidth="1"/>
    <col min="5134" max="5135" width="0" style="151" hidden="1" customWidth="1"/>
    <col min="5136" max="5136" width="2.6640625" style="151" customWidth="1"/>
    <col min="5137" max="5138" width="21" style="151" customWidth="1"/>
    <col min="5139" max="5139" width="19.33203125" style="151" customWidth="1"/>
    <col min="5140" max="5140" width="0" style="151" hidden="1" customWidth="1"/>
    <col min="5141" max="5141" width="2.6640625" style="151" customWidth="1"/>
    <col min="5142" max="5143" width="21" style="151" customWidth="1"/>
    <col min="5144" max="5144" width="19.33203125" style="151" customWidth="1"/>
    <col min="5145" max="5145" width="0" style="151" hidden="1" customWidth="1"/>
    <col min="5146" max="5146" width="6.33203125" style="151" customWidth="1"/>
    <col min="5147" max="5147" width="21.88671875" style="151" customWidth="1"/>
    <col min="5148" max="5148" width="1" style="151" customWidth="1"/>
    <col min="5149" max="5160" width="21.88671875" style="151" customWidth="1"/>
    <col min="5161" max="5161" width="1" style="151" customWidth="1"/>
    <col min="5162" max="5173" width="21.88671875" style="151" customWidth="1"/>
    <col min="5174" max="5376" width="9.109375" style="151"/>
    <col min="5377" max="5377" width="0" style="151" hidden="1" customWidth="1"/>
    <col min="5378" max="5378" width="12.6640625" style="151" customWidth="1"/>
    <col min="5379" max="5379" width="70.6640625" style="151" customWidth="1"/>
    <col min="5380" max="5380" width="1" style="151" customWidth="1"/>
    <col min="5381" max="5381" width="1.109375" style="151" customWidth="1"/>
    <col min="5382" max="5383" width="21" style="151" customWidth="1"/>
    <col min="5384" max="5384" width="19.33203125" style="151" customWidth="1"/>
    <col min="5385" max="5385" width="0" style="151" hidden="1" customWidth="1"/>
    <col min="5386" max="5386" width="2.6640625" style="151" customWidth="1"/>
    <col min="5387" max="5387" width="19.5546875" style="151" customWidth="1"/>
    <col min="5388" max="5388" width="18.5546875" style="151" customWidth="1"/>
    <col min="5389" max="5389" width="19.33203125" style="151" customWidth="1"/>
    <col min="5390" max="5391" width="0" style="151" hidden="1" customWidth="1"/>
    <col min="5392" max="5392" width="2.6640625" style="151" customWidth="1"/>
    <col min="5393" max="5394" width="21" style="151" customWidth="1"/>
    <col min="5395" max="5395" width="19.33203125" style="151" customWidth="1"/>
    <col min="5396" max="5396" width="0" style="151" hidden="1" customWidth="1"/>
    <col min="5397" max="5397" width="2.6640625" style="151" customWidth="1"/>
    <col min="5398" max="5399" width="21" style="151" customWidth="1"/>
    <col min="5400" max="5400" width="19.33203125" style="151" customWidth="1"/>
    <col min="5401" max="5401" width="0" style="151" hidden="1" customWidth="1"/>
    <col min="5402" max="5402" width="6.33203125" style="151" customWidth="1"/>
    <col min="5403" max="5403" width="21.88671875" style="151" customWidth="1"/>
    <col min="5404" max="5404" width="1" style="151" customWidth="1"/>
    <col min="5405" max="5416" width="21.88671875" style="151" customWidth="1"/>
    <col min="5417" max="5417" width="1" style="151" customWidth="1"/>
    <col min="5418" max="5429" width="21.88671875" style="151" customWidth="1"/>
    <col min="5430" max="5632" width="9.109375" style="151"/>
    <col min="5633" max="5633" width="0" style="151" hidden="1" customWidth="1"/>
    <col min="5634" max="5634" width="12.6640625" style="151" customWidth="1"/>
    <col min="5635" max="5635" width="70.6640625" style="151" customWidth="1"/>
    <col min="5636" max="5636" width="1" style="151" customWidth="1"/>
    <col min="5637" max="5637" width="1.109375" style="151" customWidth="1"/>
    <col min="5638" max="5639" width="21" style="151" customWidth="1"/>
    <col min="5640" max="5640" width="19.33203125" style="151" customWidth="1"/>
    <col min="5641" max="5641" width="0" style="151" hidden="1" customWidth="1"/>
    <col min="5642" max="5642" width="2.6640625" style="151" customWidth="1"/>
    <col min="5643" max="5643" width="19.5546875" style="151" customWidth="1"/>
    <col min="5644" max="5644" width="18.5546875" style="151" customWidth="1"/>
    <col min="5645" max="5645" width="19.33203125" style="151" customWidth="1"/>
    <col min="5646" max="5647" width="0" style="151" hidden="1" customWidth="1"/>
    <col min="5648" max="5648" width="2.6640625" style="151" customWidth="1"/>
    <col min="5649" max="5650" width="21" style="151" customWidth="1"/>
    <col min="5651" max="5651" width="19.33203125" style="151" customWidth="1"/>
    <col min="5652" max="5652" width="0" style="151" hidden="1" customWidth="1"/>
    <col min="5653" max="5653" width="2.6640625" style="151" customWidth="1"/>
    <col min="5654" max="5655" width="21" style="151" customWidth="1"/>
    <col min="5656" max="5656" width="19.33203125" style="151" customWidth="1"/>
    <col min="5657" max="5657" width="0" style="151" hidden="1" customWidth="1"/>
    <col min="5658" max="5658" width="6.33203125" style="151" customWidth="1"/>
    <col min="5659" max="5659" width="21.88671875" style="151" customWidth="1"/>
    <col min="5660" max="5660" width="1" style="151" customWidth="1"/>
    <col min="5661" max="5672" width="21.88671875" style="151" customWidth="1"/>
    <col min="5673" max="5673" width="1" style="151" customWidth="1"/>
    <col min="5674" max="5685" width="21.88671875" style="151" customWidth="1"/>
    <col min="5686" max="5888" width="9.109375" style="151"/>
    <col min="5889" max="5889" width="0" style="151" hidden="1" customWidth="1"/>
    <col min="5890" max="5890" width="12.6640625" style="151" customWidth="1"/>
    <col min="5891" max="5891" width="70.6640625" style="151" customWidth="1"/>
    <col min="5892" max="5892" width="1" style="151" customWidth="1"/>
    <col min="5893" max="5893" width="1.109375" style="151" customWidth="1"/>
    <col min="5894" max="5895" width="21" style="151" customWidth="1"/>
    <col min="5896" max="5896" width="19.33203125" style="151" customWidth="1"/>
    <col min="5897" max="5897" width="0" style="151" hidden="1" customWidth="1"/>
    <col min="5898" max="5898" width="2.6640625" style="151" customWidth="1"/>
    <col min="5899" max="5899" width="19.5546875" style="151" customWidth="1"/>
    <col min="5900" max="5900" width="18.5546875" style="151" customWidth="1"/>
    <col min="5901" max="5901" width="19.33203125" style="151" customWidth="1"/>
    <col min="5902" max="5903" width="0" style="151" hidden="1" customWidth="1"/>
    <col min="5904" max="5904" width="2.6640625" style="151" customWidth="1"/>
    <col min="5905" max="5906" width="21" style="151" customWidth="1"/>
    <col min="5907" max="5907" width="19.33203125" style="151" customWidth="1"/>
    <col min="5908" max="5908" width="0" style="151" hidden="1" customWidth="1"/>
    <col min="5909" max="5909" width="2.6640625" style="151" customWidth="1"/>
    <col min="5910" max="5911" width="21" style="151" customWidth="1"/>
    <col min="5912" max="5912" width="19.33203125" style="151" customWidth="1"/>
    <col min="5913" max="5913" width="0" style="151" hidden="1" customWidth="1"/>
    <col min="5914" max="5914" width="6.33203125" style="151" customWidth="1"/>
    <col min="5915" max="5915" width="21.88671875" style="151" customWidth="1"/>
    <col min="5916" max="5916" width="1" style="151" customWidth="1"/>
    <col min="5917" max="5928" width="21.88671875" style="151" customWidth="1"/>
    <col min="5929" max="5929" width="1" style="151" customWidth="1"/>
    <col min="5930" max="5941" width="21.88671875" style="151" customWidth="1"/>
    <col min="5942" max="6144" width="9.109375" style="151"/>
    <col min="6145" max="6145" width="0" style="151" hidden="1" customWidth="1"/>
    <col min="6146" max="6146" width="12.6640625" style="151" customWidth="1"/>
    <col min="6147" max="6147" width="70.6640625" style="151" customWidth="1"/>
    <col min="6148" max="6148" width="1" style="151" customWidth="1"/>
    <col min="6149" max="6149" width="1.109375" style="151" customWidth="1"/>
    <col min="6150" max="6151" width="21" style="151" customWidth="1"/>
    <col min="6152" max="6152" width="19.33203125" style="151" customWidth="1"/>
    <col min="6153" max="6153" width="0" style="151" hidden="1" customWidth="1"/>
    <col min="6154" max="6154" width="2.6640625" style="151" customWidth="1"/>
    <col min="6155" max="6155" width="19.5546875" style="151" customWidth="1"/>
    <col min="6156" max="6156" width="18.5546875" style="151" customWidth="1"/>
    <col min="6157" max="6157" width="19.33203125" style="151" customWidth="1"/>
    <col min="6158" max="6159" width="0" style="151" hidden="1" customWidth="1"/>
    <col min="6160" max="6160" width="2.6640625" style="151" customWidth="1"/>
    <col min="6161" max="6162" width="21" style="151" customWidth="1"/>
    <col min="6163" max="6163" width="19.33203125" style="151" customWidth="1"/>
    <col min="6164" max="6164" width="0" style="151" hidden="1" customWidth="1"/>
    <col min="6165" max="6165" width="2.6640625" style="151" customWidth="1"/>
    <col min="6166" max="6167" width="21" style="151" customWidth="1"/>
    <col min="6168" max="6168" width="19.33203125" style="151" customWidth="1"/>
    <col min="6169" max="6169" width="0" style="151" hidden="1" customWidth="1"/>
    <col min="6170" max="6170" width="6.33203125" style="151" customWidth="1"/>
    <col min="6171" max="6171" width="21.88671875" style="151" customWidth="1"/>
    <col min="6172" max="6172" width="1" style="151" customWidth="1"/>
    <col min="6173" max="6184" width="21.88671875" style="151" customWidth="1"/>
    <col min="6185" max="6185" width="1" style="151" customWidth="1"/>
    <col min="6186" max="6197" width="21.88671875" style="151" customWidth="1"/>
    <col min="6198" max="6400" width="9.109375" style="151"/>
    <col min="6401" max="6401" width="0" style="151" hidden="1" customWidth="1"/>
    <col min="6402" max="6402" width="12.6640625" style="151" customWidth="1"/>
    <col min="6403" max="6403" width="70.6640625" style="151" customWidth="1"/>
    <col min="6404" max="6404" width="1" style="151" customWidth="1"/>
    <col min="6405" max="6405" width="1.109375" style="151" customWidth="1"/>
    <col min="6406" max="6407" width="21" style="151" customWidth="1"/>
    <col min="6408" max="6408" width="19.33203125" style="151" customWidth="1"/>
    <col min="6409" max="6409" width="0" style="151" hidden="1" customWidth="1"/>
    <col min="6410" max="6410" width="2.6640625" style="151" customWidth="1"/>
    <col min="6411" max="6411" width="19.5546875" style="151" customWidth="1"/>
    <col min="6412" max="6412" width="18.5546875" style="151" customWidth="1"/>
    <col min="6413" max="6413" width="19.33203125" style="151" customWidth="1"/>
    <col min="6414" max="6415" width="0" style="151" hidden="1" customWidth="1"/>
    <col min="6416" max="6416" width="2.6640625" style="151" customWidth="1"/>
    <col min="6417" max="6418" width="21" style="151" customWidth="1"/>
    <col min="6419" max="6419" width="19.33203125" style="151" customWidth="1"/>
    <col min="6420" max="6420" width="0" style="151" hidden="1" customWidth="1"/>
    <col min="6421" max="6421" width="2.6640625" style="151" customWidth="1"/>
    <col min="6422" max="6423" width="21" style="151" customWidth="1"/>
    <col min="6424" max="6424" width="19.33203125" style="151" customWidth="1"/>
    <col min="6425" max="6425" width="0" style="151" hidden="1" customWidth="1"/>
    <col min="6426" max="6426" width="6.33203125" style="151" customWidth="1"/>
    <col min="6427" max="6427" width="21.88671875" style="151" customWidth="1"/>
    <col min="6428" max="6428" width="1" style="151" customWidth="1"/>
    <col min="6429" max="6440" width="21.88671875" style="151" customWidth="1"/>
    <col min="6441" max="6441" width="1" style="151" customWidth="1"/>
    <col min="6442" max="6453" width="21.88671875" style="151" customWidth="1"/>
    <col min="6454" max="6656" width="9.109375" style="151"/>
    <col min="6657" max="6657" width="0" style="151" hidden="1" customWidth="1"/>
    <col min="6658" max="6658" width="12.6640625" style="151" customWidth="1"/>
    <col min="6659" max="6659" width="70.6640625" style="151" customWidth="1"/>
    <col min="6660" max="6660" width="1" style="151" customWidth="1"/>
    <col min="6661" max="6661" width="1.109375" style="151" customWidth="1"/>
    <col min="6662" max="6663" width="21" style="151" customWidth="1"/>
    <col min="6664" max="6664" width="19.33203125" style="151" customWidth="1"/>
    <col min="6665" max="6665" width="0" style="151" hidden="1" customWidth="1"/>
    <col min="6666" max="6666" width="2.6640625" style="151" customWidth="1"/>
    <col min="6667" max="6667" width="19.5546875" style="151" customWidth="1"/>
    <col min="6668" max="6668" width="18.5546875" style="151" customWidth="1"/>
    <col min="6669" max="6669" width="19.33203125" style="151" customWidth="1"/>
    <col min="6670" max="6671" width="0" style="151" hidden="1" customWidth="1"/>
    <col min="6672" max="6672" width="2.6640625" style="151" customWidth="1"/>
    <col min="6673" max="6674" width="21" style="151" customWidth="1"/>
    <col min="6675" max="6675" width="19.33203125" style="151" customWidth="1"/>
    <col min="6676" max="6676" width="0" style="151" hidden="1" customWidth="1"/>
    <col min="6677" max="6677" width="2.6640625" style="151" customWidth="1"/>
    <col min="6678" max="6679" width="21" style="151" customWidth="1"/>
    <col min="6680" max="6680" width="19.33203125" style="151" customWidth="1"/>
    <col min="6681" max="6681" width="0" style="151" hidden="1" customWidth="1"/>
    <col min="6682" max="6682" width="6.33203125" style="151" customWidth="1"/>
    <col min="6683" max="6683" width="21.88671875" style="151" customWidth="1"/>
    <col min="6684" max="6684" width="1" style="151" customWidth="1"/>
    <col min="6685" max="6696" width="21.88671875" style="151" customWidth="1"/>
    <col min="6697" max="6697" width="1" style="151" customWidth="1"/>
    <col min="6698" max="6709" width="21.88671875" style="151" customWidth="1"/>
    <col min="6710" max="6912" width="9.109375" style="151"/>
    <col min="6913" max="6913" width="0" style="151" hidden="1" customWidth="1"/>
    <col min="6914" max="6914" width="12.6640625" style="151" customWidth="1"/>
    <col min="6915" max="6915" width="70.6640625" style="151" customWidth="1"/>
    <col min="6916" max="6916" width="1" style="151" customWidth="1"/>
    <col min="6917" max="6917" width="1.109375" style="151" customWidth="1"/>
    <col min="6918" max="6919" width="21" style="151" customWidth="1"/>
    <col min="6920" max="6920" width="19.33203125" style="151" customWidth="1"/>
    <col min="6921" max="6921" width="0" style="151" hidden="1" customWidth="1"/>
    <col min="6922" max="6922" width="2.6640625" style="151" customWidth="1"/>
    <col min="6923" max="6923" width="19.5546875" style="151" customWidth="1"/>
    <col min="6924" max="6924" width="18.5546875" style="151" customWidth="1"/>
    <col min="6925" max="6925" width="19.33203125" style="151" customWidth="1"/>
    <col min="6926" max="6927" width="0" style="151" hidden="1" customWidth="1"/>
    <col min="6928" max="6928" width="2.6640625" style="151" customWidth="1"/>
    <col min="6929" max="6930" width="21" style="151" customWidth="1"/>
    <col min="6931" max="6931" width="19.33203125" style="151" customWidth="1"/>
    <col min="6932" max="6932" width="0" style="151" hidden="1" customWidth="1"/>
    <col min="6933" max="6933" width="2.6640625" style="151" customWidth="1"/>
    <col min="6934" max="6935" width="21" style="151" customWidth="1"/>
    <col min="6936" max="6936" width="19.33203125" style="151" customWidth="1"/>
    <col min="6937" max="6937" width="0" style="151" hidden="1" customWidth="1"/>
    <col min="6938" max="6938" width="6.33203125" style="151" customWidth="1"/>
    <col min="6939" max="6939" width="21.88671875" style="151" customWidth="1"/>
    <col min="6940" max="6940" width="1" style="151" customWidth="1"/>
    <col min="6941" max="6952" width="21.88671875" style="151" customWidth="1"/>
    <col min="6953" max="6953" width="1" style="151" customWidth="1"/>
    <col min="6954" max="6965" width="21.88671875" style="151" customWidth="1"/>
    <col min="6966" max="7168" width="9.109375" style="151"/>
    <col min="7169" max="7169" width="0" style="151" hidden="1" customWidth="1"/>
    <col min="7170" max="7170" width="12.6640625" style="151" customWidth="1"/>
    <col min="7171" max="7171" width="70.6640625" style="151" customWidth="1"/>
    <col min="7172" max="7172" width="1" style="151" customWidth="1"/>
    <col min="7173" max="7173" width="1.109375" style="151" customWidth="1"/>
    <col min="7174" max="7175" width="21" style="151" customWidth="1"/>
    <col min="7176" max="7176" width="19.33203125" style="151" customWidth="1"/>
    <col min="7177" max="7177" width="0" style="151" hidden="1" customWidth="1"/>
    <col min="7178" max="7178" width="2.6640625" style="151" customWidth="1"/>
    <col min="7179" max="7179" width="19.5546875" style="151" customWidth="1"/>
    <col min="7180" max="7180" width="18.5546875" style="151" customWidth="1"/>
    <col min="7181" max="7181" width="19.33203125" style="151" customWidth="1"/>
    <col min="7182" max="7183" width="0" style="151" hidden="1" customWidth="1"/>
    <col min="7184" max="7184" width="2.6640625" style="151" customWidth="1"/>
    <col min="7185" max="7186" width="21" style="151" customWidth="1"/>
    <col min="7187" max="7187" width="19.33203125" style="151" customWidth="1"/>
    <col min="7188" max="7188" width="0" style="151" hidden="1" customWidth="1"/>
    <col min="7189" max="7189" width="2.6640625" style="151" customWidth="1"/>
    <col min="7190" max="7191" width="21" style="151" customWidth="1"/>
    <col min="7192" max="7192" width="19.33203125" style="151" customWidth="1"/>
    <col min="7193" max="7193" width="0" style="151" hidden="1" customWidth="1"/>
    <col min="7194" max="7194" width="6.33203125" style="151" customWidth="1"/>
    <col min="7195" max="7195" width="21.88671875" style="151" customWidth="1"/>
    <col min="7196" max="7196" width="1" style="151" customWidth="1"/>
    <col min="7197" max="7208" width="21.88671875" style="151" customWidth="1"/>
    <col min="7209" max="7209" width="1" style="151" customWidth="1"/>
    <col min="7210" max="7221" width="21.88671875" style="151" customWidth="1"/>
    <col min="7222" max="7424" width="9.109375" style="151"/>
    <col min="7425" max="7425" width="0" style="151" hidden="1" customWidth="1"/>
    <col min="7426" max="7426" width="12.6640625" style="151" customWidth="1"/>
    <col min="7427" max="7427" width="70.6640625" style="151" customWidth="1"/>
    <col min="7428" max="7428" width="1" style="151" customWidth="1"/>
    <col min="7429" max="7429" width="1.109375" style="151" customWidth="1"/>
    <col min="7430" max="7431" width="21" style="151" customWidth="1"/>
    <col min="7432" max="7432" width="19.33203125" style="151" customWidth="1"/>
    <col min="7433" max="7433" width="0" style="151" hidden="1" customWidth="1"/>
    <col min="7434" max="7434" width="2.6640625" style="151" customWidth="1"/>
    <col min="7435" max="7435" width="19.5546875" style="151" customWidth="1"/>
    <col min="7436" max="7436" width="18.5546875" style="151" customWidth="1"/>
    <col min="7437" max="7437" width="19.33203125" style="151" customWidth="1"/>
    <col min="7438" max="7439" width="0" style="151" hidden="1" customWidth="1"/>
    <col min="7440" max="7440" width="2.6640625" style="151" customWidth="1"/>
    <col min="7441" max="7442" width="21" style="151" customWidth="1"/>
    <col min="7443" max="7443" width="19.33203125" style="151" customWidth="1"/>
    <col min="7444" max="7444" width="0" style="151" hidden="1" customWidth="1"/>
    <col min="7445" max="7445" width="2.6640625" style="151" customWidth="1"/>
    <col min="7446" max="7447" width="21" style="151" customWidth="1"/>
    <col min="7448" max="7448" width="19.33203125" style="151" customWidth="1"/>
    <col min="7449" max="7449" width="0" style="151" hidden="1" customWidth="1"/>
    <col min="7450" max="7450" width="6.33203125" style="151" customWidth="1"/>
    <col min="7451" max="7451" width="21.88671875" style="151" customWidth="1"/>
    <col min="7452" max="7452" width="1" style="151" customWidth="1"/>
    <col min="7453" max="7464" width="21.88671875" style="151" customWidth="1"/>
    <col min="7465" max="7465" width="1" style="151" customWidth="1"/>
    <col min="7466" max="7477" width="21.88671875" style="151" customWidth="1"/>
    <col min="7478" max="7680" width="9.109375" style="151"/>
    <col min="7681" max="7681" width="0" style="151" hidden="1" customWidth="1"/>
    <col min="7682" max="7682" width="12.6640625" style="151" customWidth="1"/>
    <col min="7683" max="7683" width="70.6640625" style="151" customWidth="1"/>
    <col min="7684" max="7684" width="1" style="151" customWidth="1"/>
    <col min="7685" max="7685" width="1.109375" style="151" customWidth="1"/>
    <col min="7686" max="7687" width="21" style="151" customWidth="1"/>
    <col min="7688" max="7688" width="19.33203125" style="151" customWidth="1"/>
    <col min="7689" max="7689" width="0" style="151" hidden="1" customWidth="1"/>
    <col min="7690" max="7690" width="2.6640625" style="151" customWidth="1"/>
    <col min="7691" max="7691" width="19.5546875" style="151" customWidth="1"/>
    <col min="7692" max="7692" width="18.5546875" style="151" customWidth="1"/>
    <col min="7693" max="7693" width="19.33203125" style="151" customWidth="1"/>
    <col min="7694" max="7695" width="0" style="151" hidden="1" customWidth="1"/>
    <col min="7696" max="7696" width="2.6640625" style="151" customWidth="1"/>
    <col min="7697" max="7698" width="21" style="151" customWidth="1"/>
    <col min="7699" max="7699" width="19.33203125" style="151" customWidth="1"/>
    <col min="7700" max="7700" width="0" style="151" hidden="1" customWidth="1"/>
    <col min="7701" max="7701" width="2.6640625" style="151" customWidth="1"/>
    <col min="7702" max="7703" width="21" style="151" customWidth="1"/>
    <col min="7704" max="7704" width="19.33203125" style="151" customWidth="1"/>
    <col min="7705" max="7705" width="0" style="151" hidden="1" customWidth="1"/>
    <col min="7706" max="7706" width="6.33203125" style="151" customWidth="1"/>
    <col min="7707" max="7707" width="21.88671875" style="151" customWidth="1"/>
    <col min="7708" max="7708" width="1" style="151" customWidth="1"/>
    <col min="7709" max="7720" width="21.88671875" style="151" customWidth="1"/>
    <col min="7721" max="7721" width="1" style="151" customWidth="1"/>
    <col min="7722" max="7733" width="21.88671875" style="151" customWidth="1"/>
    <col min="7734" max="7936" width="9.109375" style="151"/>
    <col min="7937" max="7937" width="0" style="151" hidden="1" customWidth="1"/>
    <col min="7938" max="7938" width="12.6640625" style="151" customWidth="1"/>
    <col min="7939" max="7939" width="70.6640625" style="151" customWidth="1"/>
    <col min="7940" max="7940" width="1" style="151" customWidth="1"/>
    <col min="7941" max="7941" width="1.109375" style="151" customWidth="1"/>
    <col min="7942" max="7943" width="21" style="151" customWidth="1"/>
    <col min="7944" max="7944" width="19.33203125" style="151" customWidth="1"/>
    <col min="7945" max="7945" width="0" style="151" hidden="1" customWidth="1"/>
    <col min="7946" max="7946" width="2.6640625" style="151" customWidth="1"/>
    <col min="7947" max="7947" width="19.5546875" style="151" customWidth="1"/>
    <col min="7948" max="7948" width="18.5546875" style="151" customWidth="1"/>
    <col min="7949" max="7949" width="19.33203125" style="151" customWidth="1"/>
    <col min="7950" max="7951" width="0" style="151" hidden="1" customWidth="1"/>
    <col min="7952" max="7952" width="2.6640625" style="151" customWidth="1"/>
    <col min="7953" max="7954" width="21" style="151" customWidth="1"/>
    <col min="7955" max="7955" width="19.33203125" style="151" customWidth="1"/>
    <col min="7956" max="7956" width="0" style="151" hidden="1" customWidth="1"/>
    <col min="7957" max="7957" width="2.6640625" style="151" customWidth="1"/>
    <col min="7958" max="7959" width="21" style="151" customWidth="1"/>
    <col min="7960" max="7960" width="19.33203125" style="151" customWidth="1"/>
    <col min="7961" max="7961" width="0" style="151" hidden="1" customWidth="1"/>
    <col min="7962" max="7962" width="6.33203125" style="151" customWidth="1"/>
    <col min="7963" max="7963" width="21.88671875" style="151" customWidth="1"/>
    <col min="7964" max="7964" width="1" style="151" customWidth="1"/>
    <col min="7965" max="7976" width="21.88671875" style="151" customWidth="1"/>
    <col min="7977" max="7977" width="1" style="151" customWidth="1"/>
    <col min="7978" max="7989" width="21.88671875" style="151" customWidth="1"/>
    <col min="7990" max="8192" width="9.109375" style="151"/>
    <col min="8193" max="8193" width="0" style="151" hidden="1" customWidth="1"/>
    <col min="8194" max="8194" width="12.6640625" style="151" customWidth="1"/>
    <col min="8195" max="8195" width="70.6640625" style="151" customWidth="1"/>
    <col min="8196" max="8196" width="1" style="151" customWidth="1"/>
    <col min="8197" max="8197" width="1.109375" style="151" customWidth="1"/>
    <col min="8198" max="8199" width="21" style="151" customWidth="1"/>
    <col min="8200" max="8200" width="19.33203125" style="151" customWidth="1"/>
    <col min="8201" max="8201" width="0" style="151" hidden="1" customWidth="1"/>
    <col min="8202" max="8202" width="2.6640625" style="151" customWidth="1"/>
    <col min="8203" max="8203" width="19.5546875" style="151" customWidth="1"/>
    <col min="8204" max="8204" width="18.5546875" style="151" customWidth="1"/>
    <col min="8205" max="8205" width="19.33203125" style="151" customWidth="1"/>
    <col min="8206" max="8207" width="0" style="151" hidden="1" customWidth="1"/>
    <col min="8208" max="8208" width="2.6640625" style="151" customWidth="1"/>
    <col min="8209" max="8210" width="21" style="151" customWidth="1"/>
    <col min="8211" max="8211" width="19.33203125" style="151" customWidth="1"/>
    <col min="8212" max="8212" width="0" style="151" hidden="1" customWidth="1"/>
    <col min="8213" max="8213" width="2.6640625" style="151" customWidth="1"/>
    <col min="8214" max="8215" width="21" style="151" customWidth="1"/>
    <col min="8216" max="8216" width="19.33203125" style="151" customWidth="1"/>
    <col min="8217" max="8217" width="0" style="151" hidden="1" customWidth="1"/>
    <col min="8218" max="8218" width="6.33203125" style="151" customWidth="1"/>
    <col min="8219" max="8219" width="21.88671875" style="151" customWidth="1"/>
    <col min="8220" max="8220" width="1" style="151" customWidth="1"/>
    <col min="8221" max="8232" width="21.88671875" style="151" customWidth="1"/>
    <col min="8233" max="8233" width="1" style="151" customWidth="1"/>
    <col min="8234" max="8245" width="21.88671875" style="151" customWidth="1"/>
    <col min="8246" max="8448" width="9.109375" style="151"/>
    <col min="8449" max="8449" width="0" style="151" hidden="1" customWidth="1"/>
    <col min="8450" max="8450" width="12.6640625" style="151" customWidth="1"/>
    <col min="8451" max="8451" width="70.6640625" style="151" customWidth="1"/>
    <col min="8452" max="8452" width="1" style="151" customWidth="1"/>
    <col min="8453" max="8453" width="1.109375" style="151" customWidth="1"/>
    <col min="8454" max="8455" width="21" style="151" customWidth="1"/>
    <col min="8456" max="8456" width="19.33203125" style="151" customWidth="1"/>
    <col min="8457" max="8457" width="0" style="151" hidden="1" customWidth="1"/>
    <col min="8458" max="8458" width="2.6640625" style="151" customWidth="1"/>
    <col min="8459" max="8459" width="19.5546875" style="151" customWidth="1"/>
    <col min="8460" max="8460" width="18.5546875" style="151" customWidth="1"/>
    <col min="8461" max="8461" width="19.33203125" style="151" customWidth="1"/>
    <col min="8462" max="8463" width="0" style="151" hidden="1" customWidth="1"/>
    <col min="8464" max="8464" width="2.6640625" style="151" customWidth="1"/>
    <col min="8465" max="8466" width="21" style="151" customWidth="1"/>
    <col min="8467" max="8467" width="19.33203125" style="151" customWidth="1"/>
    <col min="8468" max="8468" width="0" style="151" hidden="1" customWidth="1"/>
    <col min="8469" max="8469" width="2.6640625" style="151" customWidth="1"/>
    <col min="8470" max="8471" width="21" style="151" customWidth="1"/>
    <col min="8472" max="8472" width="19.33203125" style="151" customWidth="1"/>
    <col min="8473" max="8473" width="0" style="151" hidden="1" customWidth="1"/>
    <col min="8474" max="8474" width="6.33203125" style="151" customWidth="1"/>
    <col min="8475" max="8475" width="21.88671875" style="151" customWidth="1"/>
    <col min="8476" max="8476" width="1" style="151" customWidth="1"/>
    <col min="8477" max="8488" width="21.88671875" style="151" customWidth="1"/>
    <col min="8489" max="8489" width="1" style="151" customWidth="1"/>
    <col min="8490" max="8501" width="21.88671875" style="151" customWidth="1"/>
    <col min="8502" max="8704" width="9.109375" style="151"/>
    <col min="8705" max="8705" width="0" style="151" hidden="1" customWidth="1"/>
    <col min="8706" max="8706" width="12.6640625" style="151" customWidth="1"/>
    <col min="8707" max="8707" width="70.6640625" style="151" customWidth="1"/>
    <col min="8708" max="8708" width="1" style="151" customWidth="1"/>
    <col min="8709" max="8709" width="1.109375" style="151" customWidth="1"/>
    <col min="8710" max="8711" width="21" style="151" customWidth="1"/>
    <col min="8712" max="8712" width="19.33203125" style="151" customWidth="1"/>
    <col min="8713" max="8713" width="0" style="151" hidden="1" customWidth="1"/>
    <col min="8714" max="8714" width="2.6640625" style="151" customWidth="1"/>
    <col min="8715" max="8715" width="19.5546875" style="151" customWidth="1"/>
    <col min="8716" max="8716" width="18.5546875" style="151" customWidth="1"/>
    <col min="8717" max="8717" width="19.33203125" style="151" customWidth="1"/>
    <col min="8718" max="8719" width="0" style="151" hidden="1" customWidth="1"/>
    <col min="8720" max="8720" width="2.6640625" style="151" customWidth="1"/>
    <col min="8721" max="8722" width="21" style="151" customWidth="1"/>
    <col min="8723" max="8723" width="19.33203125" style="151" customWidth="1"/>
    <col min="8724" max="8724" width="0" style="151" hidden="1" customWidth="1"/>
    <col min="8725" max="8725" width="2.6640625" style="151" customWidth="1"/>
    <col min="8726" max="8727" width="21" style="151" customWidth="1"/>
    <col min="8728" max="8728" width="19.33203125" style="151" customWidth="1"/>
    <col min="8729" max="8729" width="0" style="151" hidden="1" customWidth="1"/>
    <col min="8730" max="8730" width="6.33203125" style="151" customWidth="1"/>
    <col min="8731" max="8731" width="21.88671875" style="151" customWidth="1"/>
    <col min="8732" max="8732" width="1" style="151" customWidth="1"/>
    <col min="8733" max="8744" width="21.88671875" style="151" customWidth="1"/>
    <col min="8745" max="8745" width="1" style="151" customWidth="1"/>
    <col min="8746" max="8757" width="21.88671875" style="151" customWidth="1"/>
    <col min="8758" max="8960" width="9.109375" style="151"/>
    <col min="8961" max="8961" width="0" style="151" hidden="1" customWidth="1"/>
    <col min="8962" max="8962" width="12.6640625" style="151" customWidth="1"/>
    <col min="8963" max="8963" width="70.6640625" style="151" customWidth="1"/>
    <col min="8964" max="8964" width="1" style="151" customWidth="1"/>
    <col min="8965" max="8965" width="1.109375" style="151" customWidth="1"/>
    <col min="8966" max="8967" width="21" style="151" customWidth="1"/>
    <col min="8968" max="8968" width="19.33203125" style="151" customWidth="1"/>
    <col min="8969" max="8969" width="0" style="151" hidden="1" customWidth="1"/>
    <col min="8970" max="8970" width="2.6640625" style="151" customWidth="1"/>
    <col min="8971" max="8971" width="19.5546875" style="151" customWidth="1"/>
    <col min="8972" max="8972" width="18.5546875" style="151" customWidth="1"/>
    <col min="8973" max="8973" width="19.33203125" style="151" customWidth="1"/>
    <col min="8974" max="8975" width="0" style="151" hidden="1" customWidth="1"/>
    <col min="8976" max="8976" width="2.6640625" style="151" customWidth="1"/>
    <col min="8977" max="8978" width="21" style="151" customWidth="1"/>
    <col min="8979" max="8979" width="19.33203125" style="151" customWidth="1"/>
    <col min="8980" max="8980" width="0" style="151" hidden="1" customWidth="1"/>
    <col min="8981" max="8981" width="2.6640625" style="151" customWidth="1"/>
    <col min="8982" max="8983" width="21" style="151" customWidth="1"/>
    <col min="8984" max="8984" width="19.33203125" style="151" customWidth="1"/>
    <col min="8985" max="8985" width="0" style="151" hidden="1" customWidth="1"/>
    <col min="8986" max="8986" width="6.33203125" style="151" customWidth="1"/>
    <col min="8987" max="8987" width="21.88671875" style="151" customWidth="1"/>
    <col min="8988" max="8988" width="1" style="151" customWidth="1"/>
    <col min="8989" max="9000" width="21.88671875" style="151" customWidth="1"/>
    <col min="9001" max="9001" width="1" style="151" customWidth="1"/>
    <col min="9002" max="9013" width="21.88671875" style="151" customWidth="1"/>
    <col min="9014" max="9216" width="9.109375" style="151"/>
    <col min="9217" max="9217" width="0" style="151" hidden="1" customWidth="1"/>
    <col min="9218" max="9218" width="12.6640625" style="151" customWidth="1"/>
    <col min="9219" max="9219" width="70.6640625" style="151" customWidth="1"/>
    <col min="9220" max="9220" width="1" style="151" customWidth="1"/>
    <col min="9221" max="9221" width="1.109375" style="151" customWidth="1"/>
    <col min="9222" max="9223" width="21" style="151" customWidth="1"/>
    <col min="9224" max="9224" width="19.33203125" style="151" customWidth="1"/>
    <col min="9225" max="9225" width="0" style="151" hidden="1" customWidth="1"/>
    <col min="9226" max="9226" width="2.6640625" style="151" customWidth="1"/>
    <col min="9227" max="9227" width="19.5546875" style="151" customWidth="1"/>
    <col min="9228" max="9228" width="18.5546875" style="151" customWidth="1"/>
    <col min="9229" max="9229" width="19.33203125" style="151" customWidth="1"/>
    <col min="9230" max="9231" width="0" style="151" hidden="1" customWidth="1"/>
    <col min="9232" max="9232" width="2.6640625" style="151" customWidth="1"/>
    <col min="9233" max="9234" width="21" style="151" customWidth="1"/>
    <col min="9235" max="9235" width="19.33203125" style="151" customWidth="1"/>
    <col min="9236" max="9236" width="0" style="151" hidden="1" customWidth="1"/>
    <col min="9237" max="9237" width="2.6640625" style="151" customWidth="1"/>
    <col min="9238" max="9239" width="21" style="151" customWidth="1"/>
    <col min="9240" max="9240" width="19.33203125" style="151" customWidth="1"/>
    <col min="9241" max="9241" width="0" style="151" hidden="1" customWidth="1"/>
    <col min="9242" max="9242" width="6.33203125" style="151" customWidth="1"/>
    <col min="9243" max="9243" width="21.88671875" style="151" customWidth="1"/>
    <col min="9244" max="9244" width="1" style="151" customWidth="1"/>
    <col min="9245" max="9256" width="21.88671875" style="151" customWidth="1"/>
    <col min="9257" max="9257" width="1" style="151" customWidth="1"/>
    <col min="9258" max="9269" width="21.88671875" style="151" customWidth="1"/>
    <col min="9270" max="9472" width="9.109375" style="151"/>
    <col min="9473" max="9473" width="0" style="151" hidden="1" customWidth="1"/>
    <col min="9474" max="9474" width="12.6640625" style="151" customWidth="1"/>
    <col min="9475" max="9475" width="70.6640625" style="151" customWidth="1"/>
    <col min="9476" max="9476" width="1" style="151" customWidth="1"/>
    <col min="9477" max="9477" width="1.109375" style="151" customWidth="1"/>
    <col min="9478" max="9479" width="21" style="151" customWidth="1"/>
    <col min="9480" max="9480" width="19.33203125" style="151" customWidth="1"/>
    <col min="9481" max="9481" width="0" style="151" hidden="1" customWidth="1"/>
    <col min="9482" max="9482" width="2.6640625" style="151" customWidth="1"/>
    <col min="9483" max="9483" width="19.5546875" style="151" customWidth="1"/>
    <col min="9484" max="9484" width="18.5546875" style="151" customWidth="1"/>
    <col min="9485" max="9485" width="19.33203125" style="151" customWidth="1"/>
    <col min="9486" max="9487" width="0" style="151" hidden="1" customWidth="1"/>
    <col min="9488" max="9488" width="2.6640625" style="151" customWidth="1"/>
    <col min="9489" max="9490" width="21" style="151" customWidth="1"/>
    <col min="9491" max="9491" width="19.33203125" style="151" customWidth="1"/>
    <col min="9492" max="9492" width="0" style="151" hidden="1" customWidth="1"/>
    <col min="9493" max="9493" width="2.6640625" style="151" customWidth="1"/>
    <col min="9494" max="9495" width="21" style="151" customWidth="1"/>
    <col min="9496" max="9496" width="19.33203125" style="151" customWidth="1"/>
    <col min="9497" max="9497" width="0" style="151" hidden="1" customWidth="1"/>
    <col min="9498" max="9498" width="6.33203125" style="151" customWidth="1"/>
    <col min="9499" max="9499" width="21.88671875" style="151" customWidth="1"/>
    <col min="9500" max="9500" width="1" style="151" customWidth="1"/>
    <col min="9501" max="9512" width="21.88671875" style="151" customWidth="1"/>
    <col min="9513" max="9513" width="1" style="151" customWidth="1"/>
    <col min="9514" max="9525" width="21.88671875" style="151" customWidth="1"/>
    <col min="9526" max="9728" width="9.109375" style="151"/>
    <col min="9729" max="9729" width="0" style="151" hidden="1" customWidth="1"/>
    <col min="9730" max="9730" width="12.6640625" style="151" customWidth="1"/>
    <col min="9731" max="9731" width="70.6640625" style="151" customWidth="1"/>
    <col min="9732" max="9732" width="1" style="151" customWidth="1"/>
    <col min="9733" max="9733" width="1.109375" style="151" customWidth="1"/>
    <col min="9734" max="9735" width="21" style="151" customWidth="1"/>
    <col min="9736" max="9736" width="19.33203125" style="151" customWidth="1"/>
    <col min="9737" max="9737" width="0" style="151" hidden="1" customWidth="1"/>
    <col min="9738" max="9738" width="2.6640625" style="151" customWidth="1"/>
    <col min="9739" max="9739" width="19.5546875" style="151" customWidth="1"/>
    <col min="9740" max="9740" width="18.5546875" style="151" customWidth="1"/>
    <col min="9741" max="9741" width="19.33203125" style="151" customWidth="1"/>
    <col min="9742" max="9743" width="0" style="151" hidden="1" customWidth="1"/>
    <col min="9744" max="9744" width="2.6640625" style="151" customWidth="1"/>
    <col min="9745" max="9746" width="21" style="151" customWidth="1"/>
    <col min="9747" max="9747" width="19.33203125" style="151" customWidth="1"/>
    <col min="9748" max="9748" width="0" style="151" hidden="1" customWidth="1"/>
    <col min="9749" max="9749" width="2.6640625" style="151" customWidth="1"/>
    <col min="9750" max="9751" width="21" style="151" customWidth="1"/>
    <col min="9752" max="9752" width="19.33203125" style="151" customWidth="1"/>
    <col min="9753" max="9753" width="0" style="151" hidden="1" customWidth="1"/>
    <col min="9754" max="9754" width="6.33203125" style="151" customWidth="1"/>
    <col min="9755" max="9755" width="21.88671875" style="151" customWidth="1"/>
    <col min="9756" max="9756" width="1" style="151" customWidth="1"/>
    <col min="9757" max="9768" width="21.88671875" style="151" customWidth="1"/>
    <col min="9769" max="9769" width="1" style="151" customWidth="1"/>
    <col min="9770" max="9781" width="21.88671875" style="151" customWidth="1"/>
    <col min="9782" max="9984" width="9.109375" style="151"/>
    <col min="9985" max="9985" width="0" style="151" hidden="1" customWidth="1"/>
    <col min="9986" max="9986" width="12.6640625" style="151" customWidth="1"/>
    <col min="9987" max="9987" width="70.6640625" style="151" customWidth="1"/>
    <col min="9988" max="9988" width="1" style="151" customWidth="1"/>
    <col min="9989" max="9989" width="1.109375" style="151" customWidth="1"/>
    <col min="9990" max="9991" width="21" style="151" customWidth="1"/>
    <col min="9992" max="9992" width="19.33203125" style="151" customWidth="1"/>
    <col min="9993" max="9993" width="0" style="151" hidden="1" customWidth="1"/>
    <col min="9994" max="9994" width="2.6640625" style="151" customWidth="1"/>
    <col min="9995" max="9995" width="19.5546875" style="151" customWidth="1"/>
    <col min="9996" max="9996" width="18.5546875" style="151" customWidth="1"/>
    <col min="9997" max="9997" width="19.33203125" style="151" customWidth="1"/>
    <col min="9998" max="9999" width="0" style="151" hidden="1" customWidth="1"/>
    <col min="10000" max="10000" width="2.6640625" style="151" customWidth="1"/>
    <col min="10001" max="10002" width="21" style="151" customWidth="1"/>
    <col min="10003" max="10003" width="19.33203125" style="151" customWidth="1"/>
    <col min="10004" max="10004" width="0" style="151" hidden="1" customWidth="1"/>
    <col min="10005" max="10005" width="2.6640625" style="151" customWidth="1"/>
    <col min="10006" max="10007" width="21" style="151" customWidth="1"/>
    <col min="10008" max="10008" width="19.33203125" style="151" customWidth="1"/>
    <col min="10009" max="10009" width="0" style="151" hidden="1" customWidth="1"/>
    <col min="10010" max="10010" width="6.33203125" style="151" customWidth="1"/>
    <col min="10011" max="10011" width="21.88671875" style="151" customWidth="1"/>
    <col min="10012" max="10012" width="1" style="151" customWidth="1"/>
    <col min="10013" max="10024" width="21.88671875" style="151" customWidth="1"/>
    <col min="10025" max="10025" width="1" style="151" customWidth="1"/>
    <col min="10026" max="10037" width="21.88671875" style="151" customWidth="1"/>
    <col min="10038" max="10240" width="9.109375" style="151"/>
    <col min="10241" max="10241" width="0" style="151" hidden="1" customWidth="1"/>
    <col min="10242" max="10242" width="12.6640625" style="151" customWidth="1"/>
    <col min="10243" max="10243" width="70.6640625" style="151" customWidth="1"/>
    <col min="10244" max="10244" width="1" style="151" customWidth="1"/>
    <col min="10245" max="10245" width="1.109375" style="151" customWidth="1"/>
    <col min="10246" max="10247" width="21" style="151" customWidth="1"/>
    <col min="10248" max="10248" width="19.33203125" style="151" customWidth="1"/>
    <col min="10249" max="10249" width="0" style="151" hidden="1" customWidth="1"/>
    <col min="10250" max="10250" width="2.6640625" style="151" customWidth="1"/>
    <col min="10251" max="10251" width="19.5546875" style="151" customWidth="1"/>
    <col min="10252" max="10252" width="18.5546875" style="151" customWidth="1"/>
    <col min="10253" max="10253" width="19.33203125" style="151" customWidth="1"/>
    <col min="10254" max="10255" width="0" style="151" hidden="1" customWidth="1"/>
    <col min="10256" max="10256" width="2.6640625" style="151" customWidth="1"/>
    <col min="10257" max="10258" width="21" style="151" customWidth="1"/>
    <col min="10259" max="10259" width="19.33203125" style="151" customWidth="1"/>
    <col min="10260" max="10260" width="0" style="151" hidden="1" customWidth="1"/>
    <col min="10261" max="10261" width="2.6640625" style="151" customWidth="1"/>
    <col min="10262" max="10263" width="21" style="151" customWidth="1"/>
    <col min="10264" max="10264" width="19.33203125" style="151" customWidth="1"/>
    <col min="10265" max="10265" width="0" style="151" hidden="1" customWidth="1"/>
    <col min="10266" max="10266" width="6.33203125" style="151" customWidth="1"/>
    <col min="10267" max="10267" width="21.88671875" style="151" customWidth="1"/>
    <col min="10268" max="10268" width="1" style="151" customWidth="1"/>
    <col min="10269" max="10280" width="21.88671875" style="151" customWidth="1"/>
    <col min="10281" max="10281" width="1" style="151" customWidth="1"/>
    <col min="10282" max="10293" width="21.88671875" style="151" customWidth="1"/>
    <col min="10294" max="10496" width="9.109375" style="151"/>
    <col min="10497" max="10497" width="0" style="151" hidden="1" customWidth="1"/>
    <col min="10498" max="10498" width="12.6640625" style="151" customWidth="1"/>
    <col min="10499" max="10499" width="70.6640625" style="151" customWidth="1"/>
    <col min="10500" max="10500" width="1" style="151" customWidth="1"/>
    <col min="10501" max="10501" width="1.109375" style="151" customWidth="1"/>
    <col min="10502" max="10503" width="21" style="151" customWidth="1"/>
    <col min="10504" max="10504" width="19.33203125" style="151" customWidth="1"/>
    <col min="10505" max="10505" width="0" style="151" hidden="1" customWidth="1"/>
    <col min="10506" max="10506" width="2.6640625" style="151" customWidth="1"/>
    <col min="10507" max="10507" width="19.5546875" style="151" customWidth="1"/>
    <col min="10508" max="10508" width="18.5546875" style="151" customWidth="1"/>
    <col min="10509" max="10509" width="19.33203125" style="151" customWidth="1"/>
    <col min="10510" max="10511" width="0" style="151" hidden="1" customWidth="1"/>
    <col min="10512" max="10512" width="2.6640625" style="151" customWidth="1"/>
    <col min="10513" max="10514" width="21" style="151" customWidth="1"/>
    <col min="10515" max="10515" width="19.33203125" style="151" customWidth="1"/>
    <col min="10516" max="10516" width="0" style="151" hidden="1" customWidth="1"/>
    <col min="10517" max="10517" width="2.6640625" style="151" customWidth="1"/>
    <col min="10518" max="10519" width="21" style="151" customWidth="1"/>
    <col min="10520" max="10520" width="19.33203125" style="151" customWidth="1"/>
    <col min="10521" max="10521" width="0" style="151" hidden="1" customWidth="1"/>
    <col min="10522" max="10522" width="6.33203125" style="151" customWidth="1"/>
    <col min="10523" max="10523" width="21.88671875" style="151" customWidth="1"/>
    <col min="10524" max="10524" width="1" style="151" customWidth="1"/>
    <col min="10525" max="10536" width="21.88671875" style="151" customWidth="1"/>
    <col min="10537" max="10537" width="1" style="151" customWidth="1"/>
    <col min="10538" max="10549" width="21.88671875" style="151" customWidth="1"/>
    <col min="10550" max="10752" width="9.109375" style="151"/>
    <col min="10753" max="10753" width="0" style="151" hidden="1" customWidth="1"/>
    <col min="10754" max="10754" width="12.6640625" style="151" customWidth="1"/>
    <col min="10755" max="10755" width="70.6640625" style="151" customWidth="1"/>
    <col min="10756" max="10756" width="1" style="151" customWidth="1"/>
    <col min="10757" max="10757" width="1.109375" style="151" customWidth="1"/>
    <col min="10758" max="10759" width="21" style="151" customWidth="1"/>
    <col min="10760" max="10760" width="19.33203125" style="151" customWidth="1"/>
    <col min="10761" max="10761" width="0" style="151" hidden="1" customWidth="1"/>
    <col min="10762" max="10762" width="2.6640625" style="151" customWidth="1"/>
    <col min="10763" max="10763" width="19.5546875" style="151" customWidth="1"/>
    <col min="10764" max="10764" width="18.5546875" style="151" customWidth="1"/>
    <col min="10765" max="10765" width="19.33203125" style="151" customWidth="1"/>
    <col min="10766" max="10767" width="0" style="151" hidden="1" customWidth="1"/>
    <col min="10768" max="10768" width="2.6640625" style="151" customWidth="1"/>
    <col min="10769" max="10770" width="21" style="151" customWidth="1"/>
    <col min="10771" max="10771" width="19.33203125" style="151" customWidth="1"/>
    <col min="10772" max="10772" width="0" style="151" hidden="1" customWidth="1"/>
    <col min="10773" max="10773" width="2.6640625" style="151" customWidth="1"/>
    <col min="10774" max="10775" width="21" style="151" customWidth="1"/>
    <col min="10776" max="10776" width="19.33203125" style="151" customWidth="1"/>
    <col min="10777" max="10777" width="0" style="151" hidden="1" customWidth="1"/>
    <col min="10778" max="10778" width="6.33203125" style="151" customWidth="1"/>
    <col min="10779" max="10779" width="21.88671875" style="151" customWidth="1"/>
    <col min="10780" max="10780" width="1" style="151" customWidth="1"/>
    <col min="10781" max="10792" width="21.88671875" style="151" customWidth="1"/>
    <col min="10793" max="10793" width="1" style="151" customWidth="1"/>
    <col min="10794" max="10805" width="21.88671875" style="151" customWidth="1"/>
    <col min="10806" max="11008" width="9.109375" style="151"/>
    <col min="11009" max="11009" width="0" style="151" hidden="1" customWidth="1"/>
    <col min="11010" max="11010" width="12.6640625" style="151" customWidth="1"/>
    <col min="11011" max="11011" width="70.6640625" style="151" customWidth="1"/>
    <col min="11012" max="11012" width="1" style="151" customWidth="1"/>
    <col min="11013" max="11013" width="1.109375" style="151" customWidth="1"/>
    <col min="11014" max="11015" width="21" style="151" customWidth="1"/>
    <col min="11016" max="11016" width="19.33203125" style="151" customWidth="1"/>
    <col min="11017" max="11017" width="0" style="151" hidden="1" customWidth="1"/>
    <col min="11018" max="11018" width="2.6640625" style="151" customWidth="1"/>
    <col min="11019" max="11019" width="19.5546875" style="151" customWidth="1"/>
    <col min="11020" max="11020" width="18.5546875" style="151" customWidth="1"/>
    <col min="11021" max="11021" width="19.33203125" style="151" customWidth="1"/>
    <col min="11022" max="11023" width="0" style="151" hidden="1" customWidth="1"/>
    <col min="11024" max="11024" width="2.6640625" style="151" customWidth="1"/>
    <col min="11025" max="11026" width="21" style="151" customWidth="1"/>
    <col min="11027" max="11027" width="19.33203125" style="151" customWidth="1"/>
    <col min="11028" max="11028" width="0" style="151" hidden="1" customWidth="1"/>
    <col min="11029" max="11029" width="2.6640625" style="151" customWidth="1"/>
    <col min="11030" max="11031" width="21" style="151" customWidth="1"/>
    <col min="11032" max="11032" width="19.33203125" style="151" customWidth="1"/>
    <col min="11033" max="11033" width="0" style="151" hidden="1" customWidth="1"/>
    <col min="11034" max="11034" width="6.33203125" style="151" customWidth="1"/>
    <col min="11035" max="11035" width="21.88671875" style="151" customWidth="1"/>
    <col min="11036" max="11036" width="1" style="151" customWidth="1"/>
    <col min="11037" max="11048" width="21.88671875" style="151" customWidth="1"/>
    <col min="11049" max="11049" width="1" style="151" customWidth="1"/>
    <col min="11050" max="11061" width="21.88671875" style="151" customWidth="1"/>
    <col min="11062" max="11264" width="9.109375" style="151"/>
    <col min="11265" max="11265" width="0" style="151" hidden="1" customWidth="1"/>
    <col min="11266" max="11266" width="12.6640625" style="151" customWidth="1"/>
    <col min="11267" max="11267" width="70.6640625" style="151" customWidth="1"/>
    <col min="11268" max="11268" width="1" style="151" customWidth="1"/>
    <col min="11269" max="11269" width="1.109375" style="151" customWidth="1"/>
    <col min="11270" max="11271" width="21" style="151" customWidth="1"/>
    <col min="11272" max="11272" width="19.33203125" style="151" customWidth="1"/>
    <col min="11273" max="11273" width="0" style="151" hidden="1" customWidth="1"/>
    <col min="11274" max="11274" width="2.6640625" style="151" customWidth="1"/>
    <col min="11275" max="11275" width="19.5546875" style="151" customWidth="1"/>
    <col min="11276" max="11276" width="18.5546875" style="151" customWidth="1"/>
    <col min="11277" max="11277" width="19.33203125" style="151" customWidth="1"/>
    <col min="11278" max="11279" width="0" style="151" hidden="1" customWidth="1"/>
    <col min="11280" max="11280" width="2.6640625" style="151" customWidth="1"/>
    <col min="11281" max="11282" width="21" style="151" customWidth="1"/>
    <col min="11283" max="11283" width="19.33203125" style="151" customWidth="1"/>
    <col min="11284" max="11284" width="0" style="151" hidden="1" customWidth="1"/>
    <col min="11285" max="11285" width="2.6640625" style="151" customWidth="1"/>
    <col min="11286" max="11287" width="21" style="151" customWidth="1"/>
    <col min="11288" max="11288" width="19.33203125" style="151" customWidth="1"/>
    <col min="11289" max="11289" width="0" style="151" hidden="1" customWidth="1"/>
    <col min="11290" max="11290" width="6.33203125" style="151" customWidth="1"/>
    <col min="11291" max="11291" width="21.88671875" style="151" customWidth="1"/>
    <col min="11292" max="11292" width="1" style="151" customWidth="1"/>
    <col min="11293" max="11304" width="21.88671875" style="151" customWidth="1"/>
    <col min="11305" max="11305" width="1" style="151" customWidth="1"/>
    <col min="11306" max="11317" width="21.88671875" style="151" customWidth="1"/>
    <col min="11318" max="11520" width="9.109375" style="151"/>
    <col min="11521" max="11521" width="0" style="151" hidden="1" customWidth="1"/>
    <col min="11522" max="11522" width="12.6640625" style="151" customWidth="1"/>
    <col min="11523" max="11523" width="70.6640625" style="151" customWidth="1"/>
    <col min="11524" max="11524" width="1" style="151" customWidth="1"/>
    <col min="11525" max="11525" width="1.109375" style="151" customWidth="1"/>
    <col min="11526" max="11527" width="21" style="151" customWidth="1"/>
    <col min="11528" max="11528" width="19.33203125" style="151" customWidth="1"/>
    <col min="11529" max="11529" width="0" style="151" hidden="1" customWidth="1"/>
    <col min="11530" max="11530" width="2.6640625" style="151" customWidth="1"/>
    <col min="11531" max="11531" width="19.5546875" style="151" customWidth="1"/>
    <col min="11532" max="11532" width="18.5546875" style="151" customWidth="1"/>
    <col min="11533" max="11533" width="19.33203125" style="151" customWidth="1"/>
    <col min="11534" max="11535" width="0" style="151" hidden="1" customWidth="1"/>
    <col min="11536" max="11536" width="2.6640625" style="151" customWidth="1"/>
    <col min="11537" max="11538" width="21" style="151" customWidth="1"/>
    <col min="11539" max="11539" width="19.33203125" style="151" customWidth="1"/>
    <col min="11540" max="11540" width="0" style="151" hidden="1" customWidth="1"/>
    <col min="11541" max="11541" width="2.6640625" style="151" customWidth="1"/>
    <col min="11542" max="11543" width="21" style="151" customWidth="1"/>
    <col min="11544" max="11544" width="19.33203125" style="151" customWidth="1"/>
    <col min="11545" max="11545" width="0" style="151" hidden="1" customWidth="1"/>
    <col min="11546" max="11546" width="6.33203125" style="151" customWidth="1"/>
    <col min="11547" max="11547" width="21.88671875" style="151" customWidth="1"/>
    <col min="11548" max="11548" width="1" style="151" customWidth="1"/>
    <col min="11549" max="11560" width="21.88671875" style="151" customWidth="1"/>
    <col min="11561" max="11561" width="1" style="151" customWidth="1"/>
    <col min="11562" max="11573" width="21.88671875" style="151" customWidth="1"/>
    <col min="11574" max="11776" width="9.109375" style="151"/>
    <col min="11777" max="11777" width="0" style="151" hidden="1" customWidth="1"/>
    <col min="11778" max="11778" width="12.6640625" style="151" customWidth="1"/>
    <col min="11779" max="11779" width="70.6640625" style="151" customWidth="1"/>
    <col min="11780" max="11780" width="1" style="151" customWidth="1"/>
    <col min="11781" max="11781" width="1.109375" style="151" customWidth="1"/>
    <col min="11782" max="11783" width="21" style="151" customWidth="1"/>
    <col min="11784" max="11784" width="19.33203125" style="151" customWidth="1"/>
    <col min="11785" max="11785" width="0" style="151" hidden="1" customWidth="1"/>
    <col min="11786" max="11786" width="2.6640625" style="151" customWidth="1"/>
    <col min="11787" max="11787" width="19.5546875" style="151" customWidth="1"/>
    <col min="11788" max="11788" width="18.5546875" style="151" customWidth="1"/>
    <col min="11789" max="11789" width="19.33203125" style="151" customWidth="1"/>
    <col min="11790" max="11791" width="0" style="151" hidden="1" customWidth="1"/>
    <col min="11792" max="11792" width="2.6640625" style="151" customWidth="1"/>
    <col min="11793" max="11794" width="21" style="151" customWidth="1"/>
    <col min="11795" max="11795" width="19.33203125" style="151" customWidth="1"/>
    <col min="11796" max="11796" width="0" style="151" hidden="1" customWidth="1"/>
    <col min="11797" max="11797" width="2.6640625" style="151" customWidth="1"/>
    <col min="11798" max="11799" width="21" style="151" customWidth="1"/>
    <col min="11800" max="11800" width="19.33203125" style="151" customWidth="1"/>
    <col min="11801" max="11801" width="0" style="151" hidden="1" customWidth="1"/>
    <col min="11802" max="11802" width="6.33203125" style="151" customWidth="1"/>
    <col min="11803" max="11803" width="21.88671875" style="151" customWidth="1"/>
    <col min="11804" max="11804" width="1" style="151" customWidth="1"/>
    <col min="11805" max="11816" width="21.88671875" style="151" customWidth="1"/>
    <col min="11817" max="11817" width="1" style="151" customWidth="1"/>
    <col min="11818" max="11829" width="21.88671875" style="151" customWidth="1"/>
    <col min="11830" max="12032" width="9.109375" style="151"/>
    <col min="12033" max="12033" width="0" style="151" hidden="1" customWidth="1"/>
    <col min="12034" max="12034" width="12.6640625" style="151" customWidth="1"/>
    <col min="12035" max="12035" width="70.6640625" style="151" customWidth="1"/>
    <col min="12036" max="12036" width="1" style="151" customWidth="1"/>
    <col min="12037" max="12037" width="1.109375" style="151" customWidth="1"/>
    <col min="12038" max="12039" width="21" style="151" customWidth="1"/>
    <col min="12040" max="12040" width="19.33203125" style="151" customWidth="1"/>
    <col min="12041" max="12041" width="0" style="151" hidden="1" customWidth="1"/>
    <col min="12042" max="12042" width="2.6640625" style="151" customWidth="1"/>
    <col min="12043" max="12043" width="19.5546875" style="151" customWidth="1"/>
    <col min="12044" max="12044" width="18.5546875" style="151" customWidth="1"/>
    <col min="12045" max="12045" width="19.33203125" style="151" customWidth="1"/>
    <col min="12046" max="12047" width="0" style="151" hidden="1" customWidth="1"/>
    <col min="12048" max="12048" width="2.6640625" style="151" customWidth="1"/>
    <col min="12049" max="12050" width="21" style="151" customWidth="1"/>
    <col min="12051" max="12051" width="19.33203125" style="151" customWidth="1"/>
    <col min="12052" max="12052" width="0" style="151" hidden="1" customWidth="1"/>
    <col min="12053" max="12053" width="2.6640625" style="151" customWidth="1"/>
    <col min="12054" max="12055" width="21" style="151" customWidth="1"/>
    <col min="12056" max="12056" width="19.33203125" style="151" customWidth="1"/>
    <col min="12057" max="12057" width="0" style="151" hidden="1" customWidth="1"/>
    <col min="12058" max="12058" width="6.33203125" style="151" customWidth="1"/>
    <col min="12059" max="12059" width="21.88671875" style="151" customWidth="1"/>
    <col min="12060" max="12060" width="1" style="151" customWidth="1"/>
    <col min="12061" max="12072" width="21.88671875" style="151" customWidth="1"/>
    <col min="12073" max="12073" width="1" style="151" customWidth="1"/>
    <col min="12074" max="12085" width="21.88671875" style="151" customWidth="1"/>
    <col min="12086" max="12288" width="9.109375" style="151"/>
    <col min="12289" max="12289" width="0" style="151" hidden="1" customWidth="1"/>
    <col min="12290" max="12290" width="12.6640625" style="151" customWidth="1"/>
    <col min="12291" max="12291" width="70.6640625" style="151" customWidth="1"/>
    <col min="12292" max="12292" width="1" style="151" customWidth="1"/>
    <col min="12293" max="12293" width="1.109375" style="151" customWidth="1"/>
    <col min="12294" max="12295" width="21" style="151" customWidth="1"/>
    <col min="12296" max="12296" width="19.33203125" style="151" customWidth="1"/>
    <col min="12297" max="12297" width="0" style="151" hidden="1" customWidth="1"/>
    <col min="12298" max="12298" width="2.6640625" style="151" customWidth="1"/>
    <col min="12299" max="12299" width="19.5546875" style="151" customWidth="1"/>
    <col min="12300" max="12300" width="18.5546875" style="151" customWidth="1"/>
    <col min="12301" max="12301" width="19.33203125" style="151" customWidth="1"/>
    <col min="12302" max="12303" width="0" style="151" hidden="1" customWidth="1"/>
    <col min="12304" max="12304" width="2.6640625" style="151" customWidth="1"/>
    <col min="12305" max="12306" width="21" style="151" customWidth="1"/>
    <col min="12307" max="12307" width="19.33203125" style="151" customWidth="1"/>
    <col min="12308" max="12308" width="0" style="151" hidden="1" customWidth="1"/>
    <col min="12309" max="12309" width="2.6640625" style="151" customWidth="1"/>
    <col min="12310" max="12311" width="21" style="151" customWidth="1"/>
    <col min="12312" max="12312" width="19.33203125" style="151" customWidth="1"/>
    <col min="12313" max="12313" width="0" style="151" hidden="1" customWidth="1"/>
    <col min="12314" max="12314" width="6.33203125" style="151" customWidth="1"/>
    <col min="12315" max="12315" width="21.88671875" style="151" customWidth="1"/>
    <col min="12316" max="12316" width="1" style="151" customWidth="1"/>
    <col min="12317" max="12328" width="21.88671875" style="151" customWidth="1"/>
    <col min="12329" max="12329" width="1" style="151" customWidth="1"/>
    <col min="12330" max="12341" width="21.88671875" style="151" customWidth="1"/>
    <col min="12342" max="12544" width="9.109375" style="151"/>
    <col min="12545" max="12545" width="0" style="151" hidden="1" customWidth="1"/>
    <col min="12546" max="12546" width="12.6640625" style="151" customWidth="1"/>
    <col min="12547" max="12547" width="70.6640625" style="151" customWidth="1"/>
    <col min="12548" max="12548" width="1" style="151" customWidth="1"/>
    <col min="12549" max="12549" width="1.109375" style="151" customWidth="1"/>
    <col min="12550" max="12551" width="21" style="151" customWidth="1"/>
    <col min="12552" max="12552" width="19.33203125" style="151" customWidth="1"/>
    <col min="12553" max="12553" width="0" style="151" hidden="1" customWidth="1"/>
    <col min="12554" max="12554" width="2.6640625" style="151" customWidth="1"/>
    <col min="12555" max="12555" width="19.5546875" style="151" customWidth="1"/>
    <col min="12556" max="12556" width="18.5546875" style="151" customWidth="1"/>
    <col min="12557" max="12557" width="19.33203125" style="151" customWidth="1"/>
    <col min="12558" max="12559" width="0" style="151" hidden="1" customWidth="1"/>
    <col min="12560" max="12560" width="2.6640625" style="151" customWidth="1"/>
    <col min="12561" max="12562" width="21" style="151" customWidth="1"/>
    <col min="12563" max="12563" width="19.33203125" style="151" customWidth="1"/>
    <col min="12564" max="12564" width="0" style="151" hidden="1" customWidth="1"/>
    <col min="12565" max="12565" width="2.6640625" style="151" customWidth="1"/>
    <col min="12566" max="12567" width="21" style="151" customWidth="1"/>
    <col min="12568" max="12568" width="19.33203125" style="151" customWidth="1"/>
    <col min="12569" max="12569" width="0" style="151" hidden="1" customWidth="1"/>
    <col min="12570" max="12570" width="6.33203125" style="151" customWidth="1"/>
    <col min="12571" max="12571" width="21.88671875" style="151" customWidth="1"/>
    <col min="12572" max="12572" width="1" style="151" customWidth="1"/>
    <col min="12573" max="12584" width="21.88671875" style="151" customWidth="1"/>
    <col min="12585" max="12585" width="1" style="151" customWidth="1"/>
    <col min="12586" max="12597" width="21.88671875" style="151" customWidth="1"/>
    <col min="12598" max="12800" width="9.109375" style="151"/>
    <col min="12801" max="12801" width="0" style="151" hidden="1" customWidth="1"/>
    <col min="12802" max="12802" width="12.6640625" style="151" customWidth="1"/>
    <col min="12803" max="12803" width="70.6640625" style="151" customWidth="1"/>
    <col min="12804" max="12804" width="1" style="151" customWidth="1"/>
    <col min="12805" max="12805" width="1.109375" style="151" customWidth="1"/>
    <col min="12806" max="12807" width="21" style="151" customWidth="1"/>
    <col min="12808" max="12808" width="19.33203125" style="151" customWidth="1"/>
    <col min="12809" max="12809" width="0" style="151" hidden="1" customWidth="1"/>
    <col min="12810" max="12810" width="2.6640625" style="151" customWidth="1"/>
    <col min="12811" max="12811" width="19.5546875" style="151" customWidth="1"/>
    <col min="12812" max="12812" width="18.5546875" style="151" customWidth="1"/>
    <col min="12813" max="12813" width="19.33203125" style="151" customWidth="1"/>
    <col min="12814" max="12815" width="0" style="151" hidden="1" customWidth="1"/>
    <col min="12816" max="12816" width="2.6640625" style="151" customWidth="1"/>
    <col min="12817" max="12818" width="21" style="151" customWidth="1"/>
    <col min="12819" max="12819" width="19.33203125" style="151" customWidth="1"/>
    <col min="12820" max="12820" width="0" style="151" hidden="1" customWidth="1"/>
    <col min="12821" max="12821" width="2.6640625" style="151" customWidth="1"/>
    <col min="12822" max="12823" width="21" style="151" customWidth="1"/>
    <col min="12824" max="12824" width="19.33203125" style="151" customWidth="1"/>
    <col min="12825" max="12825" width="0" style="151" hidden="1" customWidth="1"/>
    <col min="12826" max="12826" width="6.33203125" style="151" customWidth="1"/>
    <col min="12827" max="12827" width="21.88671875" style="151" customWidth="1"/>
    <col min="12828" max="12828" width="1" style="151" customWidth="1"/>
    <col min="12829" max="12840" width="21.88671875" style="151" customWidth="1"/>
    <col min="12841" max="12841" width="1" style="151" customWidth="1"/>
    <col min="12842" max="12853" width="21.88671875" style="151" customWidth="1"/>
    <col min="12854" max="13056" width="9.109375" style="151"/>
    <col min="13057" max="13057" width="0" style="151" hidden="1" customWidth="1"/>
    <col min="13058" max="13058" width="12.6640625" style="151" customWidth="1"/>
    <col min="13059" max="13059" width="70.6640625" style="151" customWidth="1"/>
    <col min="13060" max="13060" width="1" style="151" customWidth="1"/>
    <col min="13061" max="13061" width="1.109375" style="151" customWidth="1"/>
    <col min="13062" max="13063" width="21" style="151" customWidth="1"/>
    <col min="13064" max="13064" width="19.33203125" style="151" customWidth="1"/>
    <col min="13065" max="13065" width="0" style="151" hidden="1" customWidth="1"/>
    <col min="13066" max="13066" width="2.6640625" style="151" customWidth="1"/>
    <col min="13067" max="13067" width="19.5546875" style="151" customWidth="1"/>
    <col min="13068" max="13068" width="18.5546875" style="151" customWidth="1"/>
    <col min="13069" max="13069" width="19.33203125" style="151" customWidth="1"/>
    <col min="13070" max="13071" width="0" style="151" hidden="1" customWidth="1"/>
    <col min="13072" max="13072" width="2.6640625" style="151" customWidth="1"/>
    <col min="13073" max="13074" width="21" style="151" customWidth="1"/>
    <col min="13075" max="13075" width="19.33203125" style="151" customWidth="1"/>
    <col min="13076" max="13076" width="0" style="151" hidden="1" customWidth="1"/>
    <col min="13077" max="13077" width="2.6640625" style="151" customWidth="1"/>
    <col min="13078" max="13079" width="21" style="151" customWidth="1"/>
    <col min="13080" max="13080" width="19.33203125" style="151" customWidth="1"/>
    <col min="13081" max="13081" width="0" style="151" hidden="1" customWidth="1"/>
    <col min="13082" max="13082" width="6.33203125" style="151" customWidth="1"/>
    <col min="13083" max="13083" width="21.88671875" style="151" customWidth="1"/>
    <col min="13084" max="13084" width="1" style="151" customWidth="1"/>
    <col min="13085" max="13096" width="21.88671875" style="151" customWidth="1"/>
    <col min="13097" max="13097" width="1" style="151" customWidth="1"/>
    <col min="13098" max="13109" width="21.88671875" style="151" customWidth="1"/>
    <col min="13110" max="13312" width="9.109375" style="151"/>
    <col min="13313" max="13313" width="0" style="151" hidden="1" customWidth="1"/>
    <col min="13314" max="13314" width="12.6640625" style="151" customWidth="1"/>
    <col min="13315" max="13315" width="70.6640625" style="151" customWidth="1"/>
    <col min="13316" max="13316" width="1" style="151" customWidth="1"/>
    <col min="13317" max="13317" width="1.109375" style="151" customWidth="1"/>
    <col min="13318" max="13319" width="21" style="151" customWidth="1"/>
    <col min="13320" max="13320" width="19.33203125" style="151" customWidth="1"/>
    <col min="13321" max="13321" width="0" style="151" hidden="1" customWidth="1"/>
    <col min="13322" max="13322" width="2.6640625" style="151" customWidth="1"/>
    <col min="13323" max="13323" width="19.5546875" style="151" customWidth="1"/>
    <col min="13324" max="13324" width="18.5546875" style="151" customWidth="1"/>
    <col min="13325" max="13325" width="19.33203125" style="151" customWidth="1"/>
    <col min="13326" max="13327" width="0" style="151" hidden="1" customWidth="1"/>
    <col min="13328" max="13328" width="2.6640625" style="151" customWidth="1"/>
    <col min="13329" max="13330" width="21" style="151" customWidth="1"/>
    <col min="13331" max="13331" width="19.33203125" style="151" customWidth="1"/>
    <col min="13332" max="13332" width="0" style="151" hidden="1" customWidth="1"/>
    <col min="13333" max="13333" width="2.6640625" style="151" customWidth="1"/>
    <col min="13334" max="13335" width="21" style="151" customWidth="1"/>
    <col min="13336" max="13336" width="19.33203125" style="151" customWidth="1"/>
    <col min="13337" max="13337" width="0" style="151" hidden="1" customWidth="1"/>
    <col min="13338" max="13338" width="6.33203125" style="151" customWidth="1"/>
    <col min="13339" max="13339" width="21.88671875" style="151" customWidth="1"/>
    <col min="13340" max="13340" width="1" style="151" customWidth="1"/>
    <col min="13341" max="13352" width="21.88671875" style="151" customWidth="1"/>
    <col min="13353" max="13353" width="1" style="151" customWidth="1"/>
    <col min="13354" max="13365" width="21.88671875" style="151" customWidth="1"/>
    <col min="13366" max="13568" width="9.109375" style="151"/>
    <col min="13569" max="13569" width="0" style="151" hidden="1" customWidth="1"/>
    <col min="13570" max="13570" width="12.6640625" style="151" customWidth="1"/>
    <col min="13571" max="13571" width="70.6640625" style="151" customWidth="1"/>
    <col min="13572" max="13572" width="1" style="151" customWidth="1"/>
    <col min="13573" max="13573" width="1.109375" style="151" customWidth="1"/>
    <col min="13574" max="13575" width="21" style="151" customWidth="1"/>
    <col min="13576" max="13576" width="19.33203125" style="151" customWidth="1"/>
    <col min="13577" max="13577" width="0" style="151" hidden="1" customWidth="1"/>
    <col min="13578" max="13578" width="2.6640625" style="151" customWidth="1"/>
    <col min="13579" max="13579" width="19.5546875" style="151" customWidth="1"/>
    <col min="13580" max="13580" width="18.5546875" style="151" customWidth="1"/>
    <col min="13581" max="13581" width="19.33203125" style="151" customWidth="1"/>
    <col min="13582" max="13583" width="0" style="151" hidden="1" customWidth="1"/>
    <col min="13584" max="13584" width="2.6640625" style="151" customWidth="1"/>
    <col min="13585" max="13586" width="21" style="151" customWidth="1"/>
    <col min="13587" max="13587" width="19.33203125" style="151" customWidth="1"/>
    <col min="13588" max="13588" width="0" style="151" hidden="1" customWidth="1"/>
    <col min="13589" max="13589" width="2.6640625" style="151" customWidth="1"/>
    <col min="13590" max="13591" width="21" style="151" customWidth="1"/>
    <col min="13592" max="13592" width="19.33203125" style="151" customWidth="1"/>
    <col min="13593" max="13593" width="0" style="151" hidden="1" customWidth="1"/>
    <col min="13594" max="13594" width="6.33203125" style="151" customWidth="1"/>
    <col min="13595" max="13595" width="21.88671875" style="151" customWidth="1"/>
    <col min="13596" max="13596" width="1" style="151" customWidth="1"/>
    <col min="13597" max="13608" width="21.88671875" style="151" customWidth="1"/>
    <col min="13609" max="13609" width="1" style="151" customWidth="1"/>
    <col min="13610" max="13621" width="21.88671875" style="151" customWidth="1"/>
    <col min="13622" max="13824" width="9.109375" style="151"/>
    <col min="13825" max="13825" width="0" style="151" hidden="1" customWidth="1"/>
    <col min="13826" max="13826" width="12.6640625" style="151" customWidth="1"/>
    <col min="13827" max="13827" width="70.6640625" style="151" customWidth="1"/>
    <col min="13828" max="13828" width="1" style="151" customWidth="1"/>
    <col min="13829" max="13829" width="1.109375" style="151" customWidth="1"/>
    <col min="13830" max="13831" width="21" style="151" customWidth="1"/>
    <col min="13832" max="13832" width="19.33203125" style="151" customWidth="1"/>
    <col min="13833" max="13833" width="0" style="151" hidden="1" customWidth="1"/>
    <col min="13834" max="13834" width="2.6640625" style="151" customWidth="1"/>
    <col min="13835" max="13835" width="19.5546875" style="151" customWidth="1"/>
    <col min="13836" max="13836" width="18.5546875" style="151" customWidth="1"/>
    <col min="13837" max="13837" width="19.33203125" style="151" customWidth="1"/>
    <col min="13838" max="13839" width="0" style="151" hidden="1" customWidth="1"/>
    <col min="13840" max="13840" width="2.6640625" style="151" customWidth="1"/>
    <col min="13841" max="13842" width="21" style="151" customWidth="1"/>
    <col min="13843" max="13843" width="19.33203125" style="151" customWidth="1"/>
    <col min="13844" max="13844" width="0" style="151" hidden="1" customWidth="1"/>
    <col min="13845" max="13845" width="2.6640625" style="151" customWidth="1"/>
    <col min="13846" max="13847" width="21" style="151" customWidth="1"/>
    <col min="13848" max="13848" width="19.33203125" style="151" customWidth="1"/>
    <col min="13849" max="13849" width="0" style="151" hidden="1" customWidth="1"/>
    <col min="13850" max="13850" width="6.33203125" style="151" customWidth="1"/>
    <col min="13851" max="13851" width="21.88671875" style="151" customWidth="1"/>
    <col min="13852" max="13852" width="1" style="151" customWidth="1"/>
    <col min="13853" max="13864" width="21.88671875" style="151" customWidth="1"/>
    <col min="13865" max="13865" width="1" style="151" customWidth="1"/>
    <col min="13866" max="13877" width="21.88671875" style="151" customWidth="1"/>
    <col min="13878" max="14080" width="9.109375" style="151"/>
    <col min="14081" max="14081" width="0" style="151" hidden="1" customWidth="1"/>
    <col min="14082" max="14082" width="12.6640625" style="151" customWidth="1"/>
    <col min="14083" max="14083" width="70.6640625" style="151" customWidth="1"/>
    <col min="14084" max="14084" width="1" style="151" customWidth="1"/>
    <col min="14085" max="14085" width="1.109375" style="151" customWidth="1"/>
    <col min="14086" max="14087" width="21" style="151" customWidth="1"/>
    <col min="14088" max="14088" width="19.33203125" style="151" customWidth="1"/>
    <col min="14089" max="14089" width="0" style="151" hidden="1" customWidth="1"/>
    <col min="14090" max="14090" width="2.6640625" style="151" customWidth="1"/>
    <col min="14091" max="14091" width="19.5546875" style="151" customWidth="1"/>
    <col min="14092" max="14092" width="18.5546875" style="151" customWidth="1"/>
    <col min="14093" max="14093" width="19.33203125" style="151" customWidth="1"/>
    <col min="14094" max="14095" width="0" style="151" hidden="1" customWidth="1"/>
    <col min="14096" max="14096" width="2.6640625" style="151" customWidth="1"/>
    <col min="14097" max="14098" width="21" style="151" customWidth="1"/>
    <col min="14099" max="14099" width="19.33203125" style="151" customWidth="1"/>
    <col min="14100" max="14100" width="0" style="151" hidden="1" customWidth="1"/>
    <col min="14101" max="14101" width="2.6640625" style="151" customWidth="1"/>
    <col min="14102" max="14103" width="21" style="151" customWidth="1"/>
    <col min="14104" max="14104" width="19.33203125" style="151" customWidth="1"/>
    <col min="14105" max="14105" width="0" style="151" hidden="1" customWidth="1"/>
    <col min="14106" max="14106" width="6.33203125" style="151" customWidth="1"/>
    <col min="14107" max="14107" width="21.88671875" style="151" customWidth="1"/>
    <col min="14108" max="14108" width="1" style="151" customWidth="1"/>
    <col min="14109" max="14120" width="21.88671875" style="151" customWidth="1"/>
    <col min="14121" max="14121" width="1" style="151" customWidth="1"/>
    <col min="14122" max="14133" width="21.88671875" style="151" customWidth="1"/>
    <col min="14134" max="14336" width="9.109375" style="151"/>
    <col min="14337" max="14337" width="0" style="151" hidden="1" customWidth="1"/>
    <col min="14338" max="14338" width="12.6640625" style="151" customWidth="1"/>
    <col min="14339" max="14339" width="70.6640625" style="151" customWidth="1"/>
    <col min="14340" max="14340" width="1" style="151" customWidth="1"/>
    <col min="14341" max="14341" width="1.109375" style="151" customWidth="1"/>
    <col min="14342" max="14343" width="21" style="151" customWidth="1"/>
    <col min="14344" max="14344" width="19.33203125" style="151" customWidth="1"/>
    <col min="14345" max="14345" width="0" style="151" hidden="1" customWidth="1"/>
    <col min="14346" max="14346" width="2.6640625" style="151" customWidth="1"/>
    <col min="14347" max="14347" width="19.5546875" style="151" customWidth="1"/>
    <col min="14348" max="14348" width="18.5546875" style="151" customWidth="1"/>
    <col min="14349" max="14349" width="19.33203125" style="151" customWidth="1"/>
    <col min="14350" max="14351" width="0" style="151" hidden="1" customWidth="1"/>
    <col min="14352" max="14352" width="2.6640625" style="151" customWidth="1"/>
    <col min="14353" max="14354" width="21" style="151" customWidth="1"/>
    <col min="14355" max="14355" width="19.33203125" style="151" customWidth="1"/>
    <col min="14356" max="14356" width="0" style="151" hidden="1" customWidth="1"/>
    <col min="14357" max="14357" width="2.6640625" style="151" customWidth="1"/>
    <col min="14358" max="14359" width="21" style="151" customWidth="1"/>
    <col min="14360" max="14360" width="19.33203125" style="151" customWidth="1"/>
    <col min="14361" max="14361" width="0" style="151" hidden="1" customWidth="1"/>
    <col min="14362" max="14362" width="6.33203125" style="151" customWidth="1"/>
    <col min="14363" max="14363" width="21.88671875" style="151" customWidth="1"/>
    <col min="14364" max="14364" width="1" style="151" customWidth="1"/>
    <col min="14365" max="14376" width="21.88671875" style="151" customWidth="1"/>
    <col min="14377" max="14377" width="1" style="151" customWidth="1"/>
    <col min="14378" max="14389" width="21.88671875" style="151" customWidth="1"/>
    <col min="14390" max="14592" width="9.109375" style="151"/>
    <col min="14593" max="14593" width="0" style="151" hidden="1" customWidth="1"/>
    <col min="14594" max="14594" width="12.6640625" style="151" customWidth="1"/>
    <col min="14595" max="14595" width="70.6640625" style="151" customWidth="1"/>
    <col min="14596" max="14596" width="1" style="151" customWidth="1"/>
    <col min="14597" max="14597" width="1.109375" style="151" customWidth="1"/>
    <col min="14598" max="14599" width="21" style="151" customWidth="1"/>
    <col min="14600" max="14600" width="19.33203125" style="151" customWidth="1"/>
    <col min="14601" max="14601" width="0" style="151" hidden="1" customWidth="1"/>
    <col min="14602" max="14602" width="2.6640625" style="151" customWidth="1"/>
    <col min="14603" max="14603" width="19.5546875" style="151" customWidth="1"/>
    <col min="14604" max="14604" width="18.5546875" style="151" customWidth="1"/>
    <col min="14605" max="14605" width="19.33203125" style="151" customWidth="1"/>
    <col min="14606" max="14607" width="0" style="151" hidden="1" customWidth="1"/>
    <col min="14608" max="14608" width="2.6640625" style="151" customWidth="1"/>
    <col min="14609" max="14610" width="21" style="151" customWidth="1"/>
    <col min="14611" max="14611" width="19.33203125" style="151" customWidth="1"/>
    <col min="14612" max="14612" width="0" style="151" hidden="1" customWidth="1"/>
    <col min="14613" max="14613" width="2.6640625" style="151" customWidth="1"/>
    <col min="14614" max="14615" width="21" style="151" customWidth="1"/>
    <col min="14616" max="14616" width="19.33203125" style="151" customWidth="1"/>
    <col min="14617" max="14617" width="0" style="151" hidden="1" customWidth="1"/>
    <col min="14618" max="14618" width="6.33203125" style="151" customWidth="1"/>
    <col min="14619" max="14619" width="21.88671875" style="151" customWidth="1"/>
    <col min="14620" max="14620" width="1" style="151" customWidth="1"/>
    <col min="14621" max="14632" width="21.88671875" style="151" customWidth="1"/>
    <col min="14633" max="14633" width="1" style="151" customWidth="1"/>
    <col min="14634" max="14645" width="21.88671875" style="151" customWidth="1"/>
    <col min="14646" max="14848" width="9.109375" style="151"/>
    <col min="14849" max="14849" width="0" style="151" hidden="1" customWidth="1"/>
    <col min="14850" max="14850" width="12.6640625" style="151" customWidth="1"/>
    <col min="14851" max="14851" width="70.6640625" style="151" customWidth="1"/>
    <col min="14852" max="14852" width="1" style="151" customWidth="1"/>
    <col min="14853" max="14853" width="1.109375" style="151" customWidth="1"/>
    <col min="14854" max="14855" width="21" style="151" customWidth="1"/>
    <col min="14856" max="14856" width="19.33203125" style="151" customWidth="1"/>
    <col min="14857" max="14857" width="0" style="151" hidden="1" customWidth="1"/>
    <col min="14858" max="14858" width="2.6640625" style="151" customWidth="1"/>
    <col min="14859" max="14859" width="19.5546875" style="151" customWidth="1"/>
    <col min="14860" max="14860" width="18.5546875" style="151" customWidth="1"/>
    <col min="14861" max="14861" width="19.33203125" style="151" customWidth="1"/>
    <col min="14862" max="14863" width="0" style="151" hidden="1" customWidth="1"/>
    <col min="14864" max="14864" width="2.6640625" style="151" customWidth="1"/>
    <col min="14865" max="14866" width="21" style="151" customWidth="1"/>
    <col min="14867" max="14867" width="19.33203125" style="151" customWidth="1"/>
    <col min="14868" max="14868" width="0" style="151" hidden="1" customWidth="1"/>
    <col min="14869" max="14869" width="2.6640625" style="151" customWidth="1"/>
    <col min="14870" max="14871" width="21" style="151" customWidth="1"/>
    <col min="14872" max="14872" width="19.33203125" style="151" customWidth="1"/>
    <col min="14873" max="14873" width="0" style="151" hidden="1" customWidth="1"/>
    <col min="14874" max="14874" width="6.33203125" style="151" customWidth="1"/>
    <col min="14875" max="14875" width="21.88671875" style="151" customWidth="1"/>
    <col min="14876" max="14876" width="1" style="151" customWidth="1"/>
    <col min="14877" max="14888" width="21.88671875" style="151" customWidth="1"/>
    <col min="14889" max="14889" width="1" style="151" customWidth="1"/>
    <col min="14890" max="14901" width="21.88671875" style="151" customWidth="1"/>
    <col min="14902" max="15104" width="9.109375" style="151"/>
    <col min="15105" max="15105" width="0" style="151" hidden="1" customWidth="1"/>
    <col min="15106" max="15106" width="12.6640625" style="151" customWidth="1"/>
    <col min="15107" max="15107" width="70.6640625" style="151" customWidth="1"/>
    <col min="15108" max="15108" width="1" style="151" customWidth="1"/>
    <col min="15109" max="15109" width="1.109375" style="151" customWidth="1"/>
    <col min="15110" max="15111" width="21" style="151" customWidth="1"/>
    <col min="15112" max="15112" width="19.33203125" style="151" customWidth="1"/>
    <col min="15113" max="15113" width="0" style="151" hidden="1" customWidth="1"/>
    <col min="15114" max="15114" width="2.6640625" style="151" customWidth="1"/>
    <col min="15115" max="15115" width="19.5546875" style="151" customWidth="1"/>
    <col min="15116" max="15116" width="18.5546875" style="151" customWidth="1"/>
    <col min="15117" max="15117" width="19.33203125" style="151" customWidth="1"/>
    <col min="15118" max="15119" width="0" style="151" hidden="1" customWidth="1"/>
    <col min="15120" max="15120" width="2.6640625" style="151" customWidth="1"/>
    <col min="15121" max="15122" width="21" style="151" customWidth="1"/>
    <col min="15123" max="15123" width="19.33203125" style="151" customWidth="1"/>
    <col min="15124" max="15124" width="0" style="151" hidden="1" customWidth="1"/>
    <col min="15125" max="15125" width="2.6640625" style="151" customWidth="1"/>
    <col min="15126" max="15127" width="21" style="151" customWidth="1"/>
    <col min="15128" max="15128" width="19.33203125" style="151" customWidth="1"/>
    <col min="15129" max="15129" width="0" style="151" hidden="1" customWidth="1"/>
    <col min="15130" max="15130" width="6.33203125" style="151" customWidth="1"/>
    <col min="15131" max="15131" width="21.88671875" style="151" customWidth="1"/>
    <col min="15132" max="15132" width="1" style="151" customWidth="1"/>
    <col min="15133" max="15144" width="21.88671875" style="151" customWidth="1"/>
    <col min="15145" max="15145" width="1" style="151" customWidth="1"/>
    <col min="15146" max="15157" width="21.88671875" style="151" customWidth="1"/>
    <col min="15158" max="15360" width="9.109375" style="151"/>
    <col min="15361" max="15361" width="0" style="151" hidden="1" customWidth="1"/>
    <col min="15362" max="15362" width="12.6640625" style="151" customWidth="1"/>
    <col min="15363" max="15363" width="70.6640625" style="151" customWidth="1"/>
    <col min="15364" max="15364" width="1" style="151" customWidth="1"/>
    <col min="15365" max="15365" width="1.109375" style="151" customWidth="1"/>
    <col min="15366" max="15367" width="21" style="151" customWidth="1"/>
    <col min="15368" max="15368" width="19.33203125" style="151" customWidth="1"/>
    <col min="15369" max="15369" width="0" style="151" hidden="1" customWidth="1"/>
    <col min="15370" max="15370" width="2.6640625" style="151" customWidth="1"/>
    <col min="15371" max="15371" width="19.5546875" style="151" customWidth="1"/>
    <col min="15372" max="15372" width="18.5546875" style="151" customWidth="1"/>
    <col min="15373" max="15373" width="19.33203125" style="151" customWidth="1"/>
    <col min="15374" max="15375" width="0" style="151" hidden="1" customWidth="1"/>
    <col min="15376" max="15376" width="2.6640625" style="151" customWidth="1"/>
    <col min="15377" max="15378" width="21" style="151" customWidth="1"/>
    <col min="15379" max="15379" width="19.33203125" style="151" customWidth="1"/>
    <col min="15380" max="15380" width="0" style="151" hidden="1" customWidth="1"/>
    <col min="15381" max="15381" width="2.6640625" style="151" customWidth="1"/>
    <col min="15382" max="15383" width="21" style="151" customWidth="1"/>
    <col min="15384" max="15384" width="19.33203125" style="151" customWidth="1"/>
    <col min="15385" max="15385" width="0" style="151" hidden="1" customWidth="1"/>
    <col min="15386" max="15386" width="6.33203125" style="151" customWidth="1"/>
    <col min="15387" max="15387" width="21.88671875" style="151" customWidth="1"/>
    <col min="15388" max="15388" width="1" style="151" customWidth="1"/>
    <col min="15389" max="15400" width="21.88671875" style="151" customWidth="1"/>
    <col min="15401" max="15401" width="1" style="151" customWidth="1"/>
    <col min="15402" max="15413" width="21.88671875" style="151" customWidth="1"/>
    <col min="15414" max="15616" width="9.109375" style="151"/>
    <col min="15617" max="15617" width="0" style="151" hidden="1" customWidth="1"/>
    <col min="15618" max="15618" width="12.6640625" style="151" customWidth="1"/>
    <col min="15619" max="15619" width="70.6640625" style="151" customWidth="1"/>
    <col min="15620" max="15620" width="1" style="151" customWidth="1"/>
    <col min="15621" max="15621" width="1.109375" style="151" customWidth="1"/>
    <col min="15622" max="15623" width="21" style="151" customWidth="1"/>
    <col min="15624" max="15624" width="19.33203125" style="151" customWidth="1"/>
    <col min="15625" max="15625" width="0" style="151" hidden="1" customWidth="1"/>
    <col min="15626" max="15626" width="2.6640625" style="151" customWidth="1"/>
    <col min="15627" max="15627" width="19.5546875" style="151" customWidth="1"/>
    <col min="15628" max="15628" width="18.5546875" style="151" customWidth="1"/>
    <col min="15629" max="15629" width="19.33203125" style="151" customWidth="1"/>
    <col min="15630" max="15631" width="0" style="151" hidden="1" customWidth="1"/>
    <col min="15632" max="15632" width="2.6640625" style="151" customWidth="1"/>
    <col min="15633" max="15634" width="21" style="151" customWidth="1"/>
    <col min="15635" max="15635" width="19.33203125" style="151" customWidth="1"/>
    <col min="15636" max="15636" width="0" style="151" hidden="1" customWidth="1"/>
    <col min="15637" max="15637" width="2.6640625" style="151" customWidth="1"/>
    <col min="15638" max="15639" width="21" style="151" customWidth="1"/>
    <col min="15640" max="15640" width="19.33203125" style="151" customWidth="1"/>
    <col min="15641" max="15641" width="0" style="151" hidden="1" customWidth="1"/>
    <col min="15642" max="15642" width="6.33203125" style="151" customWidth="1"/>
    <col min="15643" max="15643" width="21.88671875" style="151" customWidth="1"/>
    <col min="15644" max="15644" width="1" style="151" customWidth="1"/>
    <col min="15645" max="15656" width="21.88671875" style="151" customWidth="1"/>
    <col min="15657" max="15657" width="1" style="151" customWidth="1"/>
    <col min="15658" max="15669" width="21.88671875" style="151" customWidth="1"/>
    <col min="15670" max="15872" width="9.109375" style="151"/>
    <col min="15873" max="15873" width="0" style="151" hidden="1" customWidth="1"/>
    <col min="15874" max="15874" width="12.6640625" style="151" customWidth="1"/>
    <col min="15875" max="15875" width="70.6640625" style="151" customWidth="1"/>
    <col min="15876" max="15876" width="1" style="151" customWidth="1"/>
    <col min="15877" max="15877" width="1.109375" style="151" customWidth="1"/>
    <col min="15878" max="15879" width="21" style="151" customWidth="1"/>
    <col min="15880" max="15880" width="19.33203125" style="151" customWidth="1"/>
    <col min="15881" max="15881" width="0" style="151" hidden="1" customWidth="1"/>
    <col min="15882" max="15882" width="2.6640625" style="151" customWidth="1"/>
    <col min="15883" max="15883" width="19.5546875" style="151" customWidth="1"/>
    <col min="15884" max="15884" width="18.5546875" style="151" customWidth="1"/>
    <col min="15885" max="15885" width="19.33203125" style="151" customWidth="1"/>
    <col min="15886" max="15887" width="0" style="151" hidden="1" customWidth="1"/>
    <col min="15888" max="15888" width="2.6640625" style="151" customWidth="1"/>
    <col min="15889" max="15890" width="21" style="151" customWidth="1"/>
    <col min="15891" max="15891" width="19.33203125" style="151" customWidth="1"/>
    <col min="15892" max="15892" width="0" style="151" hidden="1" customWidth="1"/>
    <col min="15893" max="15893" width="2.6640625" style="151" customWidth="1"/>
    <col min="15894" max="15895" width="21" style="151" customWidth="1"/>
    <col min="15896" max="15896" width="19.33203125" style="151" customWidth="1"/>
    <col min="15897" max="15897" width="0" style="151" hidden="1" customWidth="1"/>
    <col min="15898" max="15898" width="6.33203125" style="151" customWidth="1"/>
    <col min="15899" max="15899" width="21.88671875" style="151" customWidth="1"/>
    <col min="15900" max="15900" width="1" style="151" customWidth="1"/>
    <col min="15901" max="15912" width="21.88671875" style="151" customWidth="1"/>
    <col min="15913" max="15913" width="1" style="151" customWidth="1"/>
    <col min="15914" max="15925" width="21.88671875" style="151" customWidth="1"/>
    <col min="15926" max="16128" width="9.109375" style="151"/>
    <col min="16129" max="16129" width="0" style="151" hidden="1" customWidth="1"/>
    <col min="16130" max="16130" width="12.6640625" style="151" customWidth="1"/>
    <col min="16131" max="16131" width="70.6640625" style="151" customWidth="1"/>
    <col min="16132" max="16132" width="1" style="151" customWidth="1"/>
    <col min="16133" max="16133" width="1.109375" style="151" customWidth="1"/>
    <col min="16134" max="16135" width="21" style="151" customWidth="1"/>
    <col min="16136" max="16136" width="19.33203125" style="151" customWidth="1"/>
    <col min="16137" max="16137" width="0" style="151" hidden="1" customWidth="1"/>
    <col min="16138" max="16138" width="2.6640625" style="151" customWidth="1"/>
    <col min="16139" max="16139" width="19.5546875" style="151" customWidth="1"/>
    <col min="16140" max="16140" width="18.5546875" style="151" customWidth="1"/>
    <col min="16141" max="16141" width="19.33203125" style="151" customWidth="1"/>
    <col min="16142" max="16143" width="0" style="151" hidden="1" customWidth="1"/>
    <col min="16144" max="16144" width="2.6640625" style="151" customWidth="1"/>
    <col min="16145" max="16146" width="21" style="151" customWidth="1"/>
    <col min="16147" max="16147" width="19.33203125" style="151" customWidth="1"/>
    <col min="16148" max="16148" width="0" style="151" hidden="1" customWidth="1"/>
    <col min="16149" max="16149" width="2.6640625" style="151" customWidth="1"/>
    <col min="16150" max="16151" width="21" style="151" customWidth="1"/>
    <col min="16152" max="16152" width="19.33203125" style="151" customWidth="1"/>
    <col min="16153" max="16153" width="0" style="151" hidden="1" customWidth="1"/>
    <col min="16154" max="16154" width="6.33203125" style="151" customWidth="1"/>
    <col min="16155" max="16155" width="21.88671875" style="151" customWidth="1"/>
    <col min="16156" max="16156" width="1" style="151" customWidth="1"/>
    <col min="16157" max="16168" width="21.88671875" style="151" customWidth="1"/>
    <col min="16169" max="16169" width="1" style="151" customWidth="1"/>
    <col min="16170" max="16181" width="21.88671875" style="151" customWidth="1"/>
    <col min="16182" max="16384" width="9.109375" style="151"/>
  </cols>
  <sheetData>
    <row r="1" spans="1:53" s="138" customFormat="1" ht="11.25" hidden="1" customHeight="1" x14ac:dyDescent="0.25">
      <c r="A1" s="138" t="s">
        <v>124</v>
      </c>
      <c r="B1" s="139" t="s">
        <v>125</v>
      </c>
      <c r="C1" s="140" t="s">
        <v>126</v>
      </c>
      <c r="D1" s="141"/>
      <c r="E1" s="142"/>
      <c r="F1" s="143" t="s">
        <v>127</v>
      </c>
      <c r="G1" s="143" t="s">
        <v>128</v>
      </c>
      <c r="H1" s="144" t="s">
        <v>129</v>
      </c>
      <c r="I1" s="145" t="s">
        <v>129</v>
      </c>
      <c r="J1" s="146"/>
      <c r="K1" s="143" t="s">
        <v>130</v>
      </c>
      <c r="L1" s="143" t="s">
        <v>131</v>
      </c>
      <c r="M1" s="144" t="s">
        <v>129</v>
      </c>
      <c r="N1" s="145" t="s">
        <v>129</v>
      </c>
      <c r="O1" s="147"/>
      <c r="P1" s="146"/>
      <c r="Q1" s="143" t="s">
        <v>132</v>
      </c>
      <c r="R1" s="143" t="s">
        <v>133</v>
      </c>
      <c r="S1" s="144" t="s">
        <v>129</v>
      </c>
      <c r="T1" s="145" t="s">
        <v>129</v>
      </c>
      <c r="U1" s="146"/>
      <c r="V1" s="143" t="s">
        <v>134</v>
      </c>
      <c r="W1" s="143" t="s">
        <v>135</v>
      </c>
      <c r="X1" s="144" t="s">
        <v>129</v>
      </c>
      <c r="Y1" s="145" t="s">
        <v>129</v>
      </c>
      <c r="Z1" s="148"/>
      <c r="AA1" s="149" t="s">
        <v>136</v>
      </c>
      <c r="AB1" s="150"/>
      <c r="AC1" s="117" t="s">
        <v>137</v>
      </c>
      <c r="AD1" s="117" t="s">
        <v>138</v>
      </c>
      <c r="AE1" s="117" t="s">
        <v>139</v>
      </c>
      <c r="AF1" s="117" t="s">
        <v>140</v>
      </c>
      <c r="AG1" s="117" t="s">
        <v>141</v>
      </c>
      <c r="AH1" s="117" t="s">
        <v>142</v>
      </c>
      <c r="AI1" s="117" t="s">
        <v>143</v>
      </c>
      <c r="AJ1" s="117" t="s">
        <v>144</v>
      </c>
      <c r="AK1" s="117" t="s">
        <v>145</v>
      </c>
      <c r="AL1" s="117" t="s">
        <v>146</v>
      </c>
      <c r="AM1" s="117" t="s">
        <v>147</v>
      </c>
      <c r="AN1" s="117" t="s">
        <v>148</v>
      </c>
      <c r="AO1" s="150"/>
      <c r="AP1" s="117" t="s">
        <v>149</v>
      </c>
      <c r="AQ1" s="117" t="s">
        <v>150</v>
      </c>
      <c r="AR1" s="117" t="s">
        <v>151</v>
      </c>
      <c r="AS1" s="117" t="s">
        <v>152</v>
      </c>
      <c r="AT1" s="117" t="s">
        <v>153</v>
      </c>
      <c r="AU1" s="117" t="s">
        <v>154</v>
      </c>
      <c r="AV1" s="117" t="s">
        <v>155</v>
      </c>
      <c r="AW1" s="117" t="s">
        <v>156</v>
      </c>
      <c r="AX1" s="117" t="s">
        <v>157</v>
      </c>
      <c r="AY1" s="117" t="s">
        <v>158</v>
      </c>
      <c r="AZ1" s="117" t="s">
        <v>159</v>
      </c>
      <c r="BA1" s="117" t="s">
        <v>160</v>
      </c>
    </row>
    <row r="2" spans="1:53" x14ac:dyDescent="0.25">
      <c r="C2" s="132" t="str">
        <f>IF($C$701="Error",$C$706,IF($C$707="Error",$C$703&amp;" - "&amp;$C$702,IF($C$707 = $C$706, $C$707&amp;" -" &amp; $C$701,$C$707&amp;" - "&amp;$C$706)))</f>
        <v>Kentucky Power Corp Consol</v>
      </c>
      <c r="D2" s="152"/>
      <c r="E2" s="153"/>
      <c r="F2" s="154"/>
      <c r="G2" s="154" t="str">
        <f>+C2</f>
        <v>Kentucky Power Corp Consol</v>
      </c>
      <c r="H2" s="154"/>
      <c r="I2" s="155"/>
      <c r="J2" s="156"/>
      <c r="K2" s="154"/>
      <c r="L2" s="154" t="str">
        <f>+G2</f>
        <v>Kentucky Power Corp Consol</v>
      </c>
      <c r="M2" s="154"/>
      <c r="N2" s="155"/>
      <c r="O2" s="157"/>
      <c r="P2" s="156"/>
      <c r="Q2" s="154"/>
      <c r="R2" s="154" t="str">
        <f>+L2</f>
        <v>Kentucky Power Corp Consol</v>
      </c>
      <c r="S2" s="154"/>
      <c r="T2" s="155"/>
      <c r="U2" s="156"/>
      <c r="V2" s="154"/>
      <c r="W2" s="154" t="str">
        <f>+R2</f>
        <v>Kentucky Power Corp Consol</v>
      </c>
      <c r="X2" s="154"/>
      <c r="Y2" s="155"/>
      <c r="Z2" s="158"/>
      <c r="AA2" s="159" t="str">
        <f>+C2</f>
        <v>Kentucky Power Corp Consol</v>
      </c>
      <c r="AB2" s="160"/>
      <c r="AC2" s="161"/>
      <c r="AD2" s="161"/>
      <c r="AE2" s="161"/>
      <c r="AF2" s="161"/>
      <c r="AG2" s="161"/>
      <c r="AH2" s="161"/>
      <c r="AI2" s="161"/>
      <c r="AJ2" s="161"/>
      <c r="AN2" s="163"/>
      <c r="AO2" s="160"/>
      <c r="AP2" s="154" t="str">
        <f>+C2</f>
        <v>Kentucky Power Corp Consol</v>
      </c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63"/>
    </row>
    <row r="3" spans="1:53" x14ac:dyDescent="0.25">
      <c r="C3" s="132" t="str">
        <f>TEXT(+$C$691,"MMMM YYYY")</f>
        <v>February 2017</v>
      </c>
      <c r="E3" s="165"/>
      <c r="F3" s="166"/>
      <c r="G3" s="161" t="str">
        <f>+"As of: "&amp; TEXT(+$C$691,"MMM YYYY")</f>
        <v>As of: Feb 2017</v>
      </c>
      <c r="H3" s="167"/>
      <c r="I3" s="168"/>
      <c r="K3" s="166"/>
      <c r="L3" s="161" t="str">
        <f>+G3</f>
        <v>As of: Feb 2017</v>
      </c>
      <c r="M3" s="167"/>
      <c r="N3" s="168"/>
      <c r="Q3" s="166"/>
      <c r="R3" s="161" t="str">
        <f>+L3</f>
        <v>As of: Feb 2017</v>
      </c>
      <c r="S3" s="167"/>
      <c r="T3" s="168"/>
      <c r="V3" s="166"/>
      <c r="W3" s="161" t="str">
        <f>+R3</f>
        <v>As of: Feb 2017</v>
      </c>
      <c r="X3" s="167"/>
      <c r="Y3" s="168"/>
      <c r="AA3" s="171"/>
      <c r="AB3" s="160"/>
      <c r="AC3" s="154"/>
      <c r="AD3" s="161"/>
      <c r="AE3" s="161"/>
      <c r="AF3" s="161"/>
      <c r="AG3" s="161"/>
      <c r="AH3" s="161"/>
      <c r="AI3" s="161"/>
      <c r="AJ3" s="161"/>
      <c r="AN3" s="163"/>
      <c r="AO3" s="160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63"/>
    </row>
    <row r="4" spans="1:53" ht="13.8" thickBot="1" x14ac:dyDescent="0.3">
      <c r="B4" s="172" t="str">
        <f>"Run Date: "&amp; TEXT(NvsEndTime,"MM/DD/YYYY  hh:mm AM/PM;@")</f>
        <v>Run Date: 03/09/2017  02:27 PM</v>
      </c>
      <c r="C4" s="173"/>
      <c r="D4" s="174"/>
      <c r="E4" s="175"/>
      <c r="F4" s="176"/>
      <c r="G4" s="176"/>
      <c r="H4" s="177"/>
      <c r="I4" s="178"/>
      <c r="J4" s="179"/>
      <c r="K4" s="176"/>
      <c r="L4" s="176"/>
      <c r="M4" s="177"/>
      <c r="N4" s="178"/>
      <c r="O4" s="180"/>
      <c r="P4" s="179"/>
      <c r="Q4" s="176"/>
      <c r="R4" s="176"/>
      <c r="S4" s="177"/>
      <c r="T4" s="178"/>
      <c r="U4" s="179"/>
      <c r="V4" s="176"/>
      <c r="W4" s="176"/>
      <c r="X4" s="177"/>
      <c r="Y4" s="178"/>
      <c r="Z4" s="181"/>
      <c r="AA4" s="182" t="str">
        <f>+G3</f>
        <v>As of: Feb 2017</v>
      </c>
      <c r="AB4" s="160"/>
      <c r="AC4" s="154"/>
      <c r="AD4" s="161"/>
      <c r="AE4" s="161"/>
      <c r="AF4" s="161"/>
      <c r="AG4" s="161"/>
      <c r="AH4" s="161"/>
      <c r="AI4" s="161"/>
      <c r="AJ4" s="161"/>
      <c r="AN4" s="163"/>
      <c r="AO4" s="160"/>
      <c r="AP4" s="154" t="str">
        <f>+AA4</f>
        <v>As of: Feb 2017</v>
      </c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63"/>
    </row>
    <row r="5" spans="1:53" x14ac:dyDescent="0.25">
      <c r="B5" s="183" t="str">
        <f>IF(C704&lt;&gt;"Error",C704,"")</f>
        <v>LEGAL_CORP</v>
      </c>
      <c r="C5" s="184" t="str">
        <f>"Rpt ID: "&amp; C699&amp; "      Layout: "&amp;C700</f>
        <v>Rpt ID: GLR3000      Layout: GLR3000</v>
      </c>
      <c r="E5" s="185"/>
      <c r="F5" s="186" t="s">
        <v>161</v>
      </c>
      <c r="G5" s="187"/>
      <c r="H5" s="161" t="s">
        <v>162</v>
      </c>
      <c r="I5" s="168"/>
      <c r="J5" s="188"/>
      <c r="K5" s="186" t="s">
        <v>163</v>
      </c>
      <c r="L5" s="187"/>
      <c r="M5" s="161" t="s">
        <v>162</v>
      </c>
      <c r="N5" s="168"/>
      <c r="P5" s="188"/>
      <c r="Q5" s="186" t="s">
        <v>164</v>
      </c>
      <c r="R5" s="187"/>
      <c r="S5" s="161" t="s">
        <v>162</v>
      </c>
      <c r="T5" s="168"/>
      <c r="U5" s="188"/>
      <c r="V5" s="186" t="s">
        <v>165</v>
      </c>
      <c r="W5" s="187"/>
      <c r="X5" s="161" t="s">
        <v>162</v>
      </c>
      <c r="Y5" s="168"/>
      <c r="Z5" s="189"/>
      <c r="AA5" s="190"/>
      <c r="AB5" s="160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60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</row>
    <row r="6" spans="1:53" s="201" customFormat="1" ht="13.8" thickBot="1" x14ac:dyDescent="0.3">
      <c r="A6" s="151"/>
      <c r="B6" s="192" t="str">
        <f>IF(C701="Error",""&amp;C707,IF(C707= "Error","" &amp; C703,"" &amp;C707))</f>
        <v>KYP_CORP_CONSOL</v>
      </c>
      <c r="C6" s="193" t="str">
        <f>IF($C$701="Error",NvsTreeASD &amp; " Acct: GL_FERC_ACCT      BU: "&amp;+$C$708,IF(C707="Error",NvsTreeASD &amp; " Acct: GL_FERC_ACCT     BU: "&amp;+$C$703,NvsTreeASD &amp; "  Acct: GL_FERC_ACCT    BU: "&amp;+$C$707))</f>
        <v>V2017-02-28 Acct: GL_FERC_ACCT      BU: GL_PRPT_CONS</v>
      </c>
      <c r="D6" s="174"/>
      <c r="E6" s="194"/>
      <c r="F6" s="195" t="str">
        <f>TEXT($C$691,"YYYY")</f>
        <v>2017</v>
      </c>
      <c r="G6" s="196">
        <f>+F6-1</f>
        <v>2016</v>
      </c>
      <c r="H6" s="176" t="s">
        <v>166</v>
      </c>
      <c r="I6" s="197" t="s">
        <v>167</v>
      </c>
      <c r="J6" s="198"/>
      <c r="K6" s="195" t="str">
        <f>TEXT($C$691,"YYYY")</f>
        <v>2017</v>
      </c>
      <c r="L6" s="196">
        <f>+K6-1</f>
        <v>2016</v>
      </c>
      <c r="M6" s="176" t="s">
        <v>166</v>
      </c>
      <c r="N6" s="197" t="s">
        <v>167</v>
      </c>
      <c r="O6" s="197" t="s">
        <v>168</v>
      </c>
      <c r="P6" s="198"/>
      <c r="Q6" s="195" t="str">
        <f>TEXT($C$691,"YYYY")</f>
        <v>2017</v>
      </c>
      <c r="R6" s="196">
        <f>+Q6-1</f>
        <v>2016</v>
      </c>
      <c r="S6" s="176" t="s">
        <v>166</v>
      </c>
      <c r="T6" s="197" t="s">
        <v>167</v>
      </c>
      <c r="U6" s="198"/>
      <c r="V6" s="195" t="str">
        <f>TEXT($C$691,"YYYY")</f>
        <v>2017</v>
      </c>
      <c r="W6" s="196">
        <f>+V6-1</f>
        <v>2016</v>
      </c>
      <c r="X6" s="176" t="s">
        <v>166</v>
      </c>
      <c r="Y6" s="197" t="s">
        <v>167</v>
      </c>
      <c r="Z6" s="199"/>
      <c r="AA6" s="200" t="str">
        <f>"Dec "&amp;TEXT($C$691,"YYYY") - 2</f>
        <v>Dec 2015</v>
      </c>
      <c r="AB6" s="160"/>
      <c r="AC6" s="195" t="str">
        <f>"Jan "&amp;TEXT($C$691,"YYYY")-1</f>
        <v>Jan 2016</v>
      </c>
      <c r="AD6" s="195" t="str">
        <f>"Feb "&amp;TEXT($C$691,"YYYY") - 1</f>
        <v>Feb 2016</v>
      </c>
      <c r="AE6" s="195" t="str">
        <f>"Mar "&amp;TEXT($C$691,"YYYY") - 1</f>
        <v>Mar 2016</v>
      </c>
      <c r="AF6" s="195" t="str">
        <f>"Apr "&amp;TEXT($C$691,"YYYY") - 1</f>
        <v>Apr 2016</v>
      </c>
      <c r="AG6" s="195" t="str">
        <f>"May "&amp;TEXT($C$691,"YYYY") - 1</f>
        <v>May 2016</v>
      </c>
      <c r="AH6" s="195" t="str">
        <f>"Jun "&amp;TEXT($C$691,"YYYY") - 1</f>
        <v>Jun 2016</v>
      </c>
      <c r="AI6" s="195" t="str">
        <f>"Jul "&amp;TEXT($C$691,"YYYY") - 1</f>
        <v>Jul 2016</v>
      </c>
      <c r="AJ6" s="195" t="str">
        <f>"Aug "&amp;TEXT($C$691,"YYYY") - 1</f>
        <v>Aug 2016</v>
      </c>
      <c r="AK6" s="195" t="str">
        <f>"Sep "&amp;TEXT($C$691,"YYYY") - 1</f>
        <v>Sep 2016</v>
      </c>
      <c r="AL6" s="195" t="str">
        <f>"Oct "&amp;TEXT($C$691,"YYYY") - 1</f>
        <v>Oct 2016</v>
      </c>
      <c r="AM6" s="195" t="str">
        <f>"Nov "&amp;TEXT($C$691,"YYYY") - 1</f>
        <v>Nov 2016</v>
      </c>
      <c r="AN6" s="195" t="str">
        <f>"Dec "&amp;TEXT($C$691,"YYYY") - 1</f>
        <v>Dec 2016</v>
      </c>
      <c r="AO6" s="160"/>
      <c r="AP6" s="195" t="str">
        <f>"Jan "&amp;TEXT($C$691,"YYYY")</f>
        <v>Jan 2017</v>
      </c>
      <c r="AQ6" s="195" t="str">
        <f>"Feb "&amp;TEXT($C$691,"YYYY")</f>
        <v>Feb 2017</v>
      </c>
      <c r="AR6" s="195" t="str">
        <f>"Mar "&amp;TEXT($C$691,"YYYY")</f>
        <v>Mar 2017</v>
      </c>
      <c r="AS6" s="195" t="str">
        <f>"Apr "&amp;TEXT($C$691,"YYYY")</f>
        <v>Apr 2017</v>
      </c>
      <c r="AT6" s="195" t="str">
        <f>"May "&amp;TEXT($C$691,"YYYY")</f>
        <v>May 2017</v>
      </c>
      <c r="AU6" s="195" t="str">
        <f>"Jun "&amp;TEXT($C$691,"YYYY")</f>
        <v>Jun 2017</v>
      </c>
      <c r="AV6" s="195" t="str">
        <f>"Jul "&amp;TEXT($C$691,"YYYY")</f>
        <v>Jul 2017</v>
      </c>
      <c r="AW6" s="195" t="str">
        <f>"Aug "&amp;TEXT($C$691,"YYYY")</f>
        <v>Aug 2017</v>
      </c>
      <c r="AX6" s="195" t="str">
        <f>"Sep "&amp;TEXT($C$691,"YYYY")</f>
        <v>Sep 2017</v>
      </c>
      <c r="AY6" s="195" t="str">
        <f>"Oct "&amp;TEXT($C$691,"YYYY")</f>
        <v>Oct 2017</v>
      </c>
      <c r="AZ6" s="195" t="str">
        <f>"Nov "&amp;TEXT($C$691,"YYYY")</f>
        <v>Nov 2017</v>
      </c>
      <c r="BA6" s="195" t="str">
        <f>"Dec "&amp;TEXT($C$691,"YYYY")</f>
        <v>Dec 2017</v>
      </c>
    </row>
    <row r="7" spans="1:53" ht="18" thickTop="1" x14ac:dyDescent="0.3">
      <c r="B7" s="151" t="s">
        <v>169</v>
      </c>
      <c r="C7" s="202" t="s">
        <v>170</v>
      </c>
      <c r="E7" s="203"/>
      <c r="H7" s="204"/>
      <c r="I7" s="205"/>
      <c r="J7" s="206"/>
      <c r="M7" s="204"/>
      <c r="N7" s="205"/>
      <c r="O7" s="207"/>
      <c r="P7" s="206"/>
      <c r="S7" s="204"/>
      <c r="T7" s="205"/>
      <c r="U7" s="206"/>
      <c r="X7" s="204"/>
      <c r="Y7" s="205"/>
      <c r="Z7" s="181"/>
      <c r="AA7" s="208"/>
      <c r="AB7" s="209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09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</row>
    <row r="8" spans="1:53" s="211" customFormat="1" ht="2.25" customHeight="1" outlineLevel="2" x14ac:dyDescent="0.25">
      <c r="B8" s="212"/>
      <c r="C8" s="213"/>
      <c r="D8" s="214"/>
      <c r="E8" s="215"/>
      <c r="F8" s="216"/>
      <c r="G8" s="216"/>
      <c r="H8" s="216"/>
      <c r="I8" s="217"/>
      <c r="J8" s="218"/>
      <c r="K8" s="216"/>
      <c r="L8" s="216"/>
      <c r="M8" s="216"/>
      <c r="N8" s="217"/>
      <c r="O8" s="219"/>
      <c r="P8" s="218"/>
      <c r="Q8" s="216"/>
      <c r="R8" s="216"/>
      <c r="S8" s="216"/>
      <c r="T8" s="217"/>
      <c r="U8" s="218"/>
      <c r="V8" s="216"/>
      <c r="W8" s="216"/>
      <c r="X8" s="216"/>
      <c r="Y8" s="217"/>
      <c r="Z8" s="220"/>
      <c r="AA8" s="208"/>
      <c r="AB8" s="221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21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</row>
    <row r="9" spans="1:53" s="211" customFormat="1" x14ac:dyDescent="0.25">
      <c r="B9" s="212" t="s">
        <v>171</v>
      </c>
      <c r="C9" s="222" t="s">
        <v>172</v>
      </c>
      <c r="D9" s="223"/>
      <c r="E9" s="223"/>
      <c r="F9" s="224"/>
      <c r="G9" s="224"/>
      <c r="H9" s="224"/>
      <c r="I9" s="224"/>
      <c r="J9" s="225"/>
      <c r="K9" s="226"/>
      <c r="L9" s="226"/>
      <c r="M9" s="226"/>
      <c r="N9" s="227"/>
      <c r="O9" s="224"/>
      <c r="P9" s="225"/>
      <c r="Q9" s="224"/>
      <c r="R9" s="224"/>
      <c r="S9" s="224"/>
      <c r="T9" s="224"/>
      <c r="U9" s="225"/>
      <c r="V9" s="224"/>
      <c r="W9" s="224"/>
      <c r="X9" s="224"/>
      <c r="Y9" s="224"/>
      <c r="Z9" s="224"/>
      <c r="AA9" s="226"/>
      <c r="AB9" s="228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8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</row>
    <row r="10" spans="1:53" s="211" customFormat="1" ht="0.75" customHeight="1" outlineLevel="2" x14ac:dyDescent="0.25">
      <c r="B10" s="212"/>
      <c r="C10" s="213"/>
      <c r="D10" s="229"/>
      <c r="E10" s="229"/>
      <c r="F10" s="215"/>
      <c r="G10" s="215"/>
      <c r="H10" s="215"/>
      <c r="I10" s="230"/>
      <c r="J10" s="231"/>
      <c r="K10" s="215"/>
      <c r="L10" s="215"/>
      <c r="M10" s="215"/>
      <c r="N10" s="232"/>
      <c r="O10" s="233"/>
      <c r="P10" s="233"/>
      <c r="Q10" s="215"/>
      <c r="R10" s="215"/>
      <c r="S10" s="215"/>
      <c r="T10" s="230"/>
      <c r="U10" s="233"/>
      <c r="V10" s="215"/>
      <c r="W10" s="215"/>
      <c r="X10" s="215"/>
      <c r="Y10" s="234"/>
      <c r="AA10" s="215"/>
      <c r="AB10" s="23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3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</row>
    <row r="11" spans="1:53" s="138" customFormat="1" outlineLevel="2" x14ac:dyDescent="0.25">
      <c r="A11" s="138" t="s">
        <v>173</v>
      </c>
      <c r="B11" s="139" t="s">
        <v>174</v>
      </c>
      <c r="C11" s="140" t="s">
        <v>175</v>
      </c>
      <c r="D11" s="141"/>
      <c r="E11" s="142"/>
      <c r="F11" s="143">
        <v>10370381.75</v>
      </c>
      <c r="G11" s="143">
        <v>14762830.560000001</v>
      </c>
      <c r="H11" s="144">
        <f>+F11-G11</f>
        <v>-4392448.8100000005</v>
      </c>
      <c r="I11" s="145">
        <f>IF(G11&lt;0,IF(H11=0,0,IF(OR(G11=0,F11=0),"N.M.",IF(ABS(H11/G11)&gt;=10,"N.M.",H11/(-G11)))),IF(H11=0,0,IF(OR(G11=0,F11=0),"N.M.",IF(ABS(H11/G11)&gt;=10,"N.M.",H11/G11))))</f>
        <v>-0.29753432393252371</v>
      </c>
      <c r="J11" s="146"/>
      <c r="K11" s="143">
        <v>24322733.719999999</v>
      </c>
      <c r="L11" s="143">
        <v>33624301.380000003</v>
      </c>
      <c r="M11" s="144"/>
      <c r="N11" s="145"/>
      <c r="O11" s="147"/>
      <c r="P11" s="146"/>
      <c r="Q11" s="143">
        <v>39357069.57</v>
      </c>
      <c r="R11" s="143">
        <v>45675291.800000004</v>
      </c>
      <c r="S11" s="144"/>
      <c r="T11" s="145"/>
      <c r="U11" s="146"/>
      <c r="V11" s="143">
        <v>122938024.81</v>
      </c>
      <c r="W11" s="143">
        <v>119442867.21000001</v>
      </c>
      <c r="X11" s="144">
        <f>+V11-W11</f>
        <v>3495157.599999994</v>
      </c>
      <c r="Y11" s="145">
        <f>IF(W11&lt;0,IF(X11=0,0,IF(OR(W11=0,V11=0),"N.M.",IF(ABS(X11/W11)&gt;=10,"N.M.",X11/(-W11)))),IF(X11=0,0,IF(OR(W11=0,V11=0),"N.M.",IF(ABS(X11/W11)&gt;=10,"N.M.",X11/W11))))</f>
        <v>2.9262170957893515E-2</v>
      </c>
      <c r="Z11" s="148"/>
      <c r="AA11" s="149">
        <v>12050990.42</v>
      </c>
      <c r="AB11" s="150"/>
      <c r="AC11" s="117">
        <v>18861470.82</v>
      </c>
      <c r="AD11" s="117">
        <v>14762830.560000001</v>
      </c>
      <c r="AE11" s="117">
        <v>9504154.5899999999</v>
      </c>
      <c r="AF11" s="117">
        <v>8521335.2599999998</v>
      </c>
      <c r="AG11" s="117">
        <v>8105438.6500000004</v>
      </c>
      <c r="AH11" s="117">
        <v>9469460.0099999998</v>
      </c>
      <c r="AI11" s="117">
        <v>11314887.01</v>
      </c>
      <c r="AJ11" s="117">
        <v>11415320.119999999</v>
      </c>
      <c r="AK11" s="117">
        <v>7576035.1500000004</v>
      </c>
      <c r="AL11" s="117">
        <v>7727224.9900000002</v>
      </c>
      <c r="AM11" s="117">
        <v>9947099.4600000009</v>
      </c>
      <c r="AN11" s="117">
        <v>15034335.85</v>
      </c>
      <c r="AO11" s="150"/>
      <c r="AP11" s="117">
        <v>13952351.970000001</v>
      </c>
      <c r="AQ11" s="117">
        <v>10370381.75</v>
      </c>
      <c r="AR11" s="117">
        <v>2529605.23</v>
      </c>
      <c r="AS11" s="117">
        <v>0</v>
      </c>
      <c r="AT11" s="117">
        <v>0</v>
      </c>
      <c r="AU11" s="117">
        <v>0</v>
      </c>
      <c r="AV11" s="117">
        <v>0</v>
      </c>
      <c r="AW11" s="117">
        <v>0</v>
      </c>
      <c r="AX11" s="117">
        <v>0</v>
      </c>
      <c r="AY11" s="117">
        <v>0</v>
      </c>
      <c r="AZ11" s="117">
        <v>0</v>
      </c>
      <c r="BA11" s="117">
        <v>0</v>
      </c>
    </row>
    <row r="12" spans="1:53" s="138" customFormat="1" outlineLevel="2" x14ac:dyDescent="0.25">
      <c r="A12" s="138" t="s">
        <v>176</v>
      </c>
      <c r="B12" s="139" t="s">
        <v>177</v>
      </c>
      <c r="C12" s="140" t="s">
        <v>178</v>
      </c>
      <c r="D12" s="141"/>
      <c r="E12" s="142"/>
      <c r="F12" s="143">
        <v>4166016.51</v>
      </c>
      <c r="G12" s="143">
        <v>5148826.0199999996</v>
      </c>
      <c r="H12" s="144">
        <f>+F12-G12</f>
        <v>-982809.50999999978</v>
      </c>
      <c r="I12" s="145">
        <f>IF(G12&lt;0,IF(H12=0,0,IF(OR(G12=0,F12=0),"N.M.",IF(ABS(H12/G12)&gt;=10,"N.M.",H12/(-G12)))),IF(H12=0,0,IF(OR(G12=0,F12=0),"N.M.",IF(ABS(H12/G12)&gt;=10,"N.M.",H12/G12))))</f>
        <v>-0.19088031061496225</v>
      </c>
      <c r="J12" s="146"/>
      <c r="K12" s="143">
        <v>9447229.6099999994</v>
      </c>
      <c r="L12" s="143">
        <v>12627978.15</v>
      </c>
      <c r="M12" s="144"/>
      <c r="N12" s="145"/>
      <c r="O12" s="147"/>
      <c r="P12" s="146"/>
      <c r="Q12" s="143">
        <v>15149433.66</v>
      </c>
      <c r="R12" s="143">
        <v>17520970.890000001</v>
      </c>
      <c r="S12" s="144"/>
      <c r="T12" s="145"/>
      <c r="U12" s="146"/>
      <c r="V12" s="143">
        <v>58942472.979999997</v>
      </c>
      <c r="W12" s="143">
        <v>56843329.890000001</v>
      </c>
      <c r="X12" s="144">
        <f>+V12-W12</f>
        <v>2099143.0899999961</v>
      </c>
      <c r="Y12" s="145">
        <f>IF(W12&lt;0,IF(X12=0,0,IF(OR(W12=0,V12=0),"N.M.",IF(ABS(X12/W12)&gt;=10,"N.M.",X12/(-W12)))),IF(X12=0,0,IF(OR(W12=0,V12=0),"N.M.",IF(ABS(X12/W12)&gt;=10,"N.M.",X12/W12))))</f>
        <v>3.6928573573401471E-2</v>
      </c>
      <c r="Z12" s="148"/>
      <c r="AA12" s="149">
        <v>4892992.74</v>
      </c>
      <c r="AB12" s="150"/>
      <c r="AC12" s="117">
        <v>7479152.1299999999</v>
      </c>
      <c r="AD12" s="117">
        <v>5148826.0199999996</v>
      </c>
      <c r="AE12" s="117">
        <v>3953933.8</v>
      </c>
      <c r="AF12" s="117">
        <v>4014759.25</v>
      </c>
      <c r="AG12" s="117">
        <v>4163891.16</v>
      </c>
      <c r="AH12" s="117">
        <v>5253302.07</v>
      </c>
      <c r="AI12" s="117">
        <v>6557356.3499999996</v>
      </c>
      <c r="AJ12" s="117">
        <v>6642705.7800000003</v>
      </c>
      <c r="AK12" s="117">
        <v>4392724.95</v>
      </c>
      <c r="AL12" s="117">
        <v>4212276.18</v>
      </c>
      <c r="AM12" s="117">
        <v>4602089.78</v>
      </c>
      <c r="AN12" s="117">
        <v>5702204.0499999998</v>
      </c>
      <c r="AO12" s="150"/>
      <c r="AP12" s="117">
        <v>5281213.0999999996</v>
      </c>
      <c r="AQ12" s="117">
        <v>4166016.51</v>
      </c>
      <c r="AR12" s="117">
        <v>1239350.83</v>
      </c>
      <c r="AS12" s="117">
        <v>0</v>
      </c>
      <c r="AT12" s="117">
        <v>0</v>
      </c>
      <c r="AU12" s="117">
        <v>0</v>
      </c>
      <c r="AV12" s="117">
        <v>0</v>
      </c>
      <c r="AW12" s="117">
        <v>0</v>
      </c>
      <c r="AX12" s="117">
        <v>0</v>
      </c>
      <c r="AY12" s="117">
        <v>0</v>
      </c>
      <c r="AZ12" s="117">
        <v>0</v>
      </c>
      <c r="BA12" s="117">
        <v>0</v>
      </c>
    </row>
    <row r="13" spans="1:53" s="138" customFormat="1" outlineLevel="2" x14ac:dyDescent="0.25">
      <c r="A13" s="138" t="s">
        <v>179</v>
      </c>
      <c r="B13" s="139" t="s">
        <v>180</v>
      </c>
      <c r="C13" s="140" t="s">
        <v>181</v>
      </c>
      <c r="D13" s="141"/>
      <c r="E13" s="142"/>
      <c r="F13" s="143">
        <v>4664287.82</v>
      </c>
      <c r="G13" s="143">
        <v>6720540.6299999999</v>
      </c>
      <c r="H13" s="144">
        <f>+F13-G13</f>
        <v>-2056252.8099999996</v>
      </c>
      <c r="I13" s="145">
        <f>IF(G13&lt;0,IF(H13=0,0,IF(OR(G13=0,F13=0),"N.M.",IF(ABS(H13/G13)&gt;=10,"N.M.",H13/(-G13)))),IF(H13=0,0,IF(OR(G13=0,F13=0),"N.M.",IF(ABS(H13/G13)&gt;=10,"N.M.",H13/G13))))</f>
        <v>-0.30596538629958397</v>
      </c>
      <c r="J13" s="146"/>
      <c r="K13" s="143">
        <v>11026055.16</v>
      </c>
      <c r="L13" s="143">
        <v>13550267.27</v>
      </c>
      <c r="M13" s="144"/>
      <c r="N13" s="145"/>
      <c r="O13" s="147"/>
      <c r="P13" s="146"/>
      <c r="Q13" s="143">
        <v>18117716.460000001</v>
      </c>
      <c r="R13" s="143">
        <v>18111671.619999997</v>
      </c>
      <c r="S13" s="144"/>
      <c r="T13" s="145"/>
      <c r="U13" s="146"/>
      <c r="V13" s="143">
        <v>57172871.950000003</v>
      </c>
      <c r="W13" s="143">
        <v>58009318.849999994</v>
      </c>
      <c r="X13" s="144">
        <f>+V13-W13</f>
        <v>-836446.89999999106</v>
      </c>
      <c r="Y13" s="145">
        <f>IF(W13&lt;0,IF(X13=0,0,IF(OR(W13=0,V13=0),"N.M.",IF(ABS(X13/W13)&gt;=10,"N.M.",X13/(-W13)))),IF(X13=0,0,IF(OR(W13=0,V13=0),"N.M.",IF(ABS(X13/W13)&gt;=10,"N.M.",X13/W13))))</f>
        <v>-1.4419181548448593E-2</v>
      </c>
      <c r="Z13" s="148"/>
      <c r="AA13" s="149">
        <v>4561404.3499999996</v>
      </c>
      <c r="AB13" s="150"/>
      <c r="AC13" s="117">
        <v>6829726.6399999997</v>
      </c>
      <c r="AD13" s="117">
        <v>6720540.6299999999</v>
      </c>
      <c r="AE13" s="117">
        <v>4408216.34</v>
      </c>
      <c r="AF13" s="117">
        <v>3872689.25</v>
      </c>
      <c r="AG13" s="117">
        <v>3538562.15</v>
      </c>
      <c r="AH13" s="117">
        <v>3772789.86</v>
      </c>
      <c r="AI13" s="117">
        <v>4951422.6100000003</v>
      </c>
      <c r="AJ13" s="117">
        <v>5790169.21</v>
      </c>
      <c r="AK13" s="117">
        <v>4186558.05</v>
      </c>
      <c r="AL13" s="117">
        <v>3937259.27</v>
      </c>
      <c r="AM13" s="117">
        <v>4597488.75</v>
      </c>
      <c r="AN13" s="117">
        <v>7091661.2999999998</v>
      </c>
      <c r="AO13" s="150"/>
      <c r="AP13" s="117">
        <v>6361767.3399999999</v>
      </c>
      <c r="AQ13" s="117">
        <v>4664287.82</v>
      </c>
      <c r="AR13" s="117">
        <v>-948203.25</v>
      </c>
      <c r="AS13" s="117">
        <v>0</v>
      </c>
      <c r="AT13" s="117">
        <v>0</v>
      </c>
      <c r="AU13" s="117">
        <v>0</v>
      </c>
      <c r="AV13" s="117">
        <v>0</v>
      </c>
      <c r="AW13" s="117">
        <v>0</v>
      </c>
      <c r="AX13" s="117">
        <v>0</v>
      </c>
      <c r="AY13" s="117">
        <v>0</v>
      </c>
      <c r="AZ13" s="117">
        <v>0</v>
      </c>
      <c r="BA13" s="117">
        <v>0</v>
      </c>
    </row>
    <row r="14" spans="1:53" s="211" customFormat="1" outlineLevel="1" x14ac:dyDescent="0.25">
      <c r="A14" s="211" t="s">
        <v>182</v>
      </c>
      <c r="B14" s="212"/>
      <c r="C14" s="213" t="s">
        <v>183</v>
      </c>
      <c r="D14" s="229"/>
      <c r="E14" s="229"/>
      <c r="F14" s="215">
        <v>19200686.079999998</v>
      </c>
      <c r="G14" s="215">
        <v>26632197.209999997</v>
      </c>
      <c r="H14" s="236">
        <f>+F14-G14</f>
        <v>-7431511.129999999</v>
      </c>
      <c r="I14" s="237">
        <f>IF(G14&lt;0,IF(H14=0,0,IF(OR(G14=0,F14=0),"N.M.",IF(ABS(H14/G14)&gt;=10,"N.M.",H14/(-G14)))),IF(H14=0,0,IF(OR(G14=0,F14=0),"N.M.",IF(ABS(H14/G14)&gt;=10,"N.M.",H14/G14))))</f>
        <v>-0.27904235881857981</v>
      </c>
      <c r="J14" s="231"/>
      <c r="K14" s="215">
        <v>44796018.489999995</v>
      </c>
      <c r="L14" s="215">
        <v>59802546.799999997</v>
      </c>
      <c r="M14" s="215"/>
      <c r="N14" s="232"/>
      <c r="O14" s="233"/>
      <c r="P14" s="233"/>
      <c r="Q14" s="215">
        <v>72624219.689999998</v>
      </c>
      <c r="R14" s="215">
        <v>81307934.310000002</v>
      </c>
      <c r="S14" s="215"/>
      <c r="T14" s="230"/>
      <c r="U14" s="233"/>
      <c r="V14" s="215">
        <v>239053369.73999998</v>
      </c>
      <c r="W14" s="215">
        <v>234295515.94999999</v>
      </c>
      <c r="X14" s="236">
        <f>+V14-W14</f>
        <v>4757853.7899999917</v>
      </c>
      <c r="Y14" s="232">
        <f>IF(W14&lt;0,IF(X14=0,0,IF(OR(W14=0,V14=0),"N.M.",IF(ABS(X14/W14)&gt;=10,"N.M.",X14/(-W14)))),IF(X14=0,0,IF(OR(W14=0,V14=0),"N.M.",IF(ABS(X14/W14)&gt;=10,"N.M.",X14/W14))))</f>
        <v>2.0307062944454068E-2</v>
      </c>
      <c r="AA14" s="215">
        <v>21505387.509999998</v>
      </c>
      <c r="AB14" s="235"/>
      <c r="AC14" s="215">
        <v>33170349.59</v>
      </c>
      <c r="AD14" s="215">
        <v>26632197.209999997</v>
      </c>
      <c r="AE14" s="215">
        <v>17866304.73</v>
      </c>
      <c r="AF14" s="215">
        <v>16408783.76</v>
      </c>
      <c r="AG14" s="215">
        <v>15807891.960000001</v>
      </c>
      <c r="AH14" s="215">
        <v>18495551.940000001</v>
      </c>
      <c r="AI14" s="215">
        <v>22823665.969999999</v>
      </c>
      <c r="AJ14" s="215">
        <v>23848195.109999999</v>
      </c>
      <c r="AK14" s="215">
        <v>16155318.150000002</v>
      </c>
      <c r="AL14" s="215">
        <v>15876760.439999999</v>
      </c>
      <c r="AM14" s="215">
        <v>19146677.990000002</v>
      </c>
      <c r="AN14" s="215">
        <v>27828201.199999999</v>
      </c>
      <c r="AO14" s="235"/>
      <c r="AP14" s="215">
        <v>25595332.41</v>
      </c>
      <c r="AQ14" s="215">
        <v>19200686.079999998</v>
      </c>
      <c r="AR14" s="215">
        <v>2820752.81</v>
      </c>
      <c r="AS14" s="215">
        <v>0</v>
      </c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</row>
    <row r="15" spans="1:53" s="211" customFormat="1" ht="0.75" customHeight="1" outlineLevel="2" x14ac:dyDescent="0.25">
      <c r="B15" s="212"/>
      <c r="C15" s="213"/>
      <c r="D15" s="229"/>
      <c r="E15" s="229"/>
      <c r="F15" s="215"/>
      <c r="G15" s="215"/>
      <c r="H15" s="215"/>
      <c r="I15" s="230"/>
      <c r="J15" s="231"/>
      <c r="K15" s="215"/>
      <c r="L15" s="215"/>
      <c r="M15" s="215"/>
      <c r="N15" s="232"/>
      <c r="O15" s="233"/>
      <c r="P15" s="233"/>
      <c r="Q15" s="215"/>
      <c r="R15" s="215"/>
      <c r="S15" s="215"/>
      <c r="T15" s="230"/>
      <c r="U15" s="233"/>
      <c r="V15" s="215"/>
      <c r="W15" s="215"/>
      <c r="X15" s="215"/>
      <c r="Y15" s="234"/>
      <c r="AA15" s="215"/>
      <c r="AB15" s="23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3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</row>
    <row r="16" spans="1:53" s="138" customFormat="1" outlineLevel="2" x14ac:dyDescent="0.25">
      <c r="A16" s="138" t="s">
        <v>184</v>
      </c>
      <c r="B16" s="139" t="s">
        <v>185</v>
      </c>
      <c r="C16" s="140" t="s">
        <v>186</v>
      </c>
      <c r="D16" s="141"/>
      <c r="E16" s="142"/>
      <c r="F16" s="143">
        <v>6186199.25</v>
      </c>
      <c r="G16" s="143">
        <v>6453212.5800000001</v>
      </c>
      <c r="H16" s="144">
        <f t="shared" ref="H16:H23" si="0">+F16-G16</f>
        <v>-267013.33000000007</v>
      </c>
      <c r="I16" s="145">
        <f t="shared" ref="I16:I23" si="1">IF(G16&lt;0,IF(H16=0,0,IF(OR(G16=0,F16=0),"N.M.",IF(ABS(H16/G16)&gt;=10,"N.M.",H16/(-G16)))),IF(H16=0,0,IF(OR(G16=0,F16=0),"N.M.",IF(ABS(H16/G16)&gt;=10,"N.M.",H16/G16))))</f>
        <v>-4.1376806774897856E-2</v>
      </c>
      <c r="J16" s="146"/>
      <c r="K16" s="143">
        <v>12887413.880000001</v>
      </c>
      <c r="L16" s="143">
        <v>15556009.689999999</v>
      </c>
      <c r="M16" s="144"/>
      <c r="N16" s="145"/>
      <c r="O16" s="147"/>
      <c r="P16" s="146"/>
      <c r="Q16" s="143">
        <v>20013875.23</v>
      </c>
      <c r="R16" s="143">
        <v>22024602.509999998</v>
      </c>
      <c r="S16" s="144"/>
      <c r="T16" s="145"/>
      <c r="U16" s="146"/>
      <c r="V16" s="143">
        <v>84965688.239999995</v>
      </c>
      <c r="W16" s="143">
        <v>79140598.210000008</v>
      </c>
      <c r="X16" s="144">
        <f t="shared" ref="X16:X23" si="2">+V16-W16</f>
        <v>5825090.0299999863</v>
      </c>
      <c r="Y16" s="145">
        <f t="shared" ref="Y16:Y23" si="3">IF(W16&lt;0,IF(X16=0,0,IF(OR(W16=0,V16=0),"N.M.",IF(ABS(X16/W16)&gt;=10,"N.M.",X16/(-W16)))),IF(X16=0,0,IF(OR(W16=0,V16=0),"N.M.",IF(ABS(X16/W16)&gt;=10,"N.M.",X16/W16))))</f>
        <v>7.3604321445019633E-2</v>
      </c>
      <c r="Z16" s="148"/>
      <c r="AA16" s="149">
        <v>6468592.8200000003</v>
      </c>
      <c r="AB16" s="150"/>
      <c r="AC16" s="117">
        <v>9102797.1099999994</v>
      </c>
      <c r="AD16" s="117">
        <v>6453212.5800000001</v>
      </c>
      <c r="AE16" s="117">
        <v>6117824.4299999997</v>
      </c>
      <c r="AF16" s="117">
        <v>6798361.71</v>
      </c>
      <c r="AG16" s="117">
        <v>7330748.4800000004</v>
      </c>
      <c r="AH16" s="117">
        <v>7927340.0800000001</v>
      </c>
      <c r="AI16" s="117">
        <v>8112099.7599999998</v>
      </c>
      <c r="AJ16" s="117">
        <v>7989476.9500000002</v>
      </c>
      <c r="AK16" s="117">
        <v>5821618.9400000004</v>
      </c>
      <c r="AL16" s="117">
        <v>6846430.7999999998</v>
      </c>
      <c r="AM16" s="117">
        <v>8007911.8600000003</v>
      </c>
      <c r="AN16" s="117">
        <v>7126461.3499999996</v>
      </c>
      <c r="AO16" s="150"/>
      <c r="AP16" s="117">
        <v>6701214.6299999999</v>
      </c>
      <c r="AQ16" s="117">
        <v>6186199.25</v>
      </c>
      <c r="AR16" s="117">
        <v>1446011.78</v>
      </c>
      <c r="AS16" s="117">
        <v>0</v>
      </c>
      <c r="AT16" s="117">
        <v>0</v>
      </c>
      <c r="AU16" s="117">
        <v>0</v>
      </c>
      <c r="AV16" s="117">
        <v>0</v>
      </c>
      <c r="AW16" s="117">
        <v>0</v>
      </c>
      <c r="AX16" s="117">
        <v>0</v>
      </c>
      <c r="AY16" s="117">
        <v>0</v>
      </c>
      <c r="AZ16" s="117">
        <v>0</v>
      </c>
      <c r="BA16" s="117">
        <v>0</v>
      </c>
    </row>
    <row r="17" spans="1:53" s="138" customFormat="1" outlineLevel="2" x14ac:dyDescent="0.25">
      <c r="A17" s="138" t="s">
        <v>187</v>
      </c>
      <c r="B17" s="139" t="s">
        <v>188</v>
      </c>
      <c r="C17" s="140" t="s">
        <v>189</v>
      </c>
      <c r="D17" s="141"/>
      <c r="E17" s="142"/>
      <c r="F17" s="143">
        <v>5425075.9299999997</v>
      </c>
      <c r="G17" s="143">
        <v>5080388.63</v>
      </c>
      <c r="H17" s="144">
        <f t="shared" si="0"/>
        <v>344687.29999999981</v>
      </c>
      <c r="I17" s="145">
        <f t="shared" si="1"/>
        <v>6.7846640307121509E-2</v>
      </c>
      <c r="J17" s="146"/>
      <c r="K17" s="143">
        <v>10748050.300000001</v>
      </c>
      <c r="L17" s="143">
        <v>10745847.550000001</v>
      </c>
      <c r="M17" s="144"/>
      <c r="N17" s="145"/>
      <c r="O17" s="147"/>
      <c r="P17" s="146"/>
      <c r="Q17" s="143">
        <v>16423501.23</v>
      </c>
      <c r="R17" s="143">
        <v>16679437.130000001</v>
      </c>
      <c r="S17" s="144"/>
      <c r="T17" s="145"/>
      <c r="U17" s="146"/>
      <c r="V17" s="143">
        <v>68810125.719999999</v>
      </c>
      <c r="W17" s="143">
        <v>64499879.703999996</v>
      </c>
      <c r="X17" s="144">
        <f t="shared" si="2"/>
        <v>4310246.0160000026</v>
      </c>
      <c r="Y17" s="145">
        <f t="shared" si="3"/>
        <v>6.6825644261359771E-2</v>
      </c>
      <c r="Z17" s="148"/>
      <c r="AA17" s="149">
        <v>5933589.5800000001</v>
      </c>
      <c r="AB17" s="150"/>
      <c r="AC17" s="117">
        <v>5665458.9199999999</v>
      </c>
      <c r="AD17" s="117">
        <v>5080388.63</v>
      </c>
      <c r="AE17" s="117">
        <v>5653782.3200000003</v>
      </c>
      <c r="AF17" s="117">
        <v>5800896.8200000003</v>
      </c>
      <c r="AG17" s="117">
        <v>5896432.6799999997</v>
      </c>
      <c r="AH17" s="117">
        <v>6238699.0899999999</v>
      </c>
      <c r="AI17" s="117">
        <v>5868355.8200000003</v>
      </c>
      <c r="AJ17" s="117">
        <v>5734429.9100000001</v>
      </c>
      <c r="AK17" s="117">
        <v>5121845.83</v>
      </c>
      <c r="AL17" s="117">
        <v>5442909.7199999997</v>
      </c>
      <c r="AM17" s="117">
        <v>6629272.2999999998</v>
      </c>
      <c r="AN17" s="117">
        <v>5675450.9299999997</v>
      </c>
      <c r="AO17" s="150"/>
      <c r="AP17" s="117">
        <v>5322974.37</v>
      </c>
      <c r="AQ17" s="117">
        <v>5425075.9299999997</v>
      </c>
      <c r="AR17" s="117">
        <v>1960748.85</v>
      </c>
      <c r="AS17" s="117">
        <v>0</v>
      </c>
      <c r="AT17" s="117">
        <v>0</v>
      </c>
      <c r="AU17" s="117">
        <v>0</v>
      </c>
      <c r="AV17" s="117">
        <v>0</v>
      </c>
      <c r="AW17" s="117">
        <v>0</v>
      </c>
      <c r="AX17" s="117">
        <v>0</v>
      </c>
      <c r="AY17" s="117">
        <v>0</v>
      </c>
      <c r="AZ17" s="117">
        <v>0</v>
      </c>
      <c r="BA17" s="117">
        <v>0</v>
      </c>
    </row>
    <row r="18" spans="1:53" s="138" customFormat="1" outlineLevel="2" x14ac:dyDescent="0.25">
      <c r="A18" s="138" t="s">
        <v>190</v>
      </c>
      <c r="B18" s="139" t="s">
        <v>191</v>
      </c>
      <c r="C18" s="140" t="s">
        <v>192</v>
      </c>
      <c r="D18" s="141"/>
      <c r="E18" s="142"/>
      <c r="F18" s="143">
        <v>1851086.06</v>
      </c>
      <c r="G18" s="143">
        <v>2054364.77</v>
      </c>
      <c r="H18" s="144">
        <f t="shared" si="0"/>
        <v>-203278.70999999996</v>
      </c>
      <c r="I18" s="145">
        <f t="shared" si="1"/>
        <v>-9.8949667054502671E-2</v>
      </c>
      <c r="J18" s="146"/>
      <c r="K18" s="143">
        <v>3684140.2</v>
      </c>
      <c r="L18" s="143">
        <v>4661172.58</v>
      </c>
      <c r="M18" s="144"/>
      <c r="N18" s="145"/>
      <c r="O18" s="147"/>
      <c r="P18" s="146"/>
      <c r="Q18" s="143">
        <v>5619226.8300000001</v>
      </c>
      <c r="R18" s="143">
        <v>6870205.2800000003</v>
      </c>
      <c r="S18" s="144"/>
      <c r="T18" s="145"/>
      <c r="U18" s="146"/>
      <c r="V18" s="143">
        <v>22546828.739999998</v>
      </c>
      <c r="W18" s="143">
        <v>28283576.119999997</v>
      </c>
      <c r="X18" s="144">
        <f t="shared" si="2"/>
        <v>-5736747.379999999</v>
      </c>
      <c r="Y18" s="145">
        <f t="shared" si="3"/>
        <v>-0.2028296335534249</v>
      </c>
      <c r="Z18" s="148"/>
      <c r="AA18" s="149">
        <v>2209032.7000000002</v>
      </c>
      <c r="AB18" s="150"/>
      <c r="AC18" s="117">
        <v>2606807.81</v>
      </c>
      <c r="AD18" s="117">
        <v>2054364.77</v>
      </c>
      <c r="AE18" s="117">
        <v>1843534.31</v>
      </c>
      <c r="AF18" s="117">
        <v>2123619.84</v>
      </c>
      <c r="AG18" s="117">
        <v>2018287.83</v>
      </c>
      <c r="AH18" s="117">
        <v>2073161.13</v>
      </c>
      <c r="AI18" s="117">
        <v>1761889</v>
      </c>
      <c r="AJ18" s="117">
        <v>1766468.2000000002</v>
      </c>
      <c r="AK18" s="117">
        <v>1382156.22</v>
      </c>
      <c r="AL18" s="117">
        <v>1715067.9300000002</v>
      </c>
      <c r="AM18" s="117">
        <v>2243417.4500000002</v>
      </c>
      <c r="AN18" s="117">
        <v>1935086.63</v>
      </c>
      <c r="AO18" s="150"/>
      <c r="AP18" s="117">
        <v>1833054.1400000001</v>
      </c>
      <c r="AQ18" s="117">
        <v>1851086.06</v>
      </c>
      <c r="AR18" s="117">
        <v>159010.12</v>
      </c>
      <c r="AS18" s="117">
        <v>0</v>
      </c>
      <c r="AT18" s="117">
        <v>0</v>
      </c>
      <c r="AU18" s="117">
        <v>0</v>
      </c>
      <c r="AV18" s="117">
        <v>0</v>
      </c>
      <c r="AW18" s="117">
        <v>0</v>
      </c>
      <c r="AX18" s="117">
        <v>0</v>
      </c>
      <c r="AY18" s="117">
        <v>0</v>
      </c>
      <c r="AZ18" s="117">
        <v>0</v>
      </c>
      <c r="BA18" s="117">
        <v>0</v>
      </c>
    </row>
    <row r="19" spans="1:53" s="138" customFormat="1" outlineLevel="2" x14ac:dyDescent="0.25">
      <c r="A19" s="138" t="s">
        <v>193</v>
      </c>
      <c r="B19" s="139" t="s">
        <v>194</v>
      </c>
      <c r="C19" s="140" t="s">
        <v>195</v>
      </c>
      <c r="D19" s="141"/>
      <c r="E19" s="142"/>
      <c r="F19" s="143">
        <v>1115982.6399999999</v>
      </c>
      <c r="G19" s="143">
        <v>1157023.01</v>
      </c>
      <c r="H19" s="144">
        <f t="shared" si="0"/>
        <v>-41040.370000000112</v>
      </c>
      <c r="I19" s="145">
        <f t="shared" si="1"/>
        <v>-3.5470660172955519E-2</v>
      </c>
      <c r="J19" s="146"/>
      <c r="K19" s="143">
        <v>2267591.5</v>
      </c>
      <c r="L19" s="143">
        <v>2803193.2199999997</v>
      </c>
      <c r="M19" s="144"/>
      <c r="N19" s="145"/>
      <c r="O19" s="147"/>
      <c r="P19" s="146"/>
      <c r="Q19" s="143">
        <v>3531812.13</v>
      </c>
      <c r="R19" s="143">
        <v>3948328.71</v>
      </c>
      <c r="S19" s="144"/>
      <c r="T19" s="145"/>
      <c r="U19" s="146"/>
      <c r="V19" s="143">
        <v>14611449.359999999</v>
      </c>
      <c r="W19" s="143">
        <v>14260178.890000001</v>
      </c>
      <c r="X19" s="144">
        <f t="shared" si="2"/>
        <v>351270.46999999881</v>
      </c>
      <c r="Y19" s="145">
        <f t="shared" si="3"/>
        <v>2.4632963773429828E-2</v>
      </c>
      <c r="Z19" s="148"/>
      <c r="AA19" s="149">
        <v>1145135.49</v>
      </c>
      <c r="AB19" s="150"/>
      <c r="AC19" s="117">
        <v>1646170.21</v>
      </c>
      <c r="AD19" s="117">
        <v>1157023.01</v>
      </c>
      <c r="AE19" s="117">
        <v>1076621.1000000001</v>
      </c>
      <c r="AF19" s="117">
        <v>1195885.43</v>
      </c>
      <c r="AG19" s="117">
        <v>1286640.1299999999</v>
      </c>
      <c r="AH19" s="117">
        <v>1228924.1000000001</v>
      </c>
      <c r="AI19" s="117">
        <v>1081836.3400000001</v>
      </c>
      <c r="AJ19" s="117">
        <v>1314509.03</v>
      </c>
      <c r="AK19" s="117">
        <v>1250121.57</v>
      </c>
      <c r="AL19" s="117">
        <v>1218093.99</v>
      </c>
      <c r="AM19" s="117">
        <v>1427005.54</v>
      </c>
      <c r="AN19" s="117">
        <v>1264220.6299999999</v>
      </c>
      <c r="AO19" s="150"/>
      <c r="AP19" s="117">
        <v>1151608.8600000001</v>
      </c>
      <c r="AQ19" s="117">
        <v>1115982.6399999999</v>
      </c>
      <c r="AR19" s="117">
        <v>273264.47000000003</v>
      </c>
      <c r="AS19" s="117">
        <v>0</v>
      </c>
      <c r="AT19" s="117">
        <v>0</v>
      </c>
      <c r="AU19" s="117">
        <v>0</v>
      </c>
      <c r="AV19" s="117">
        <v>0</v>
      </c>
      <c r="AW19" s="117">
        <v>0</v>
      </c>
      <c r="AX19" s="117">
        <v>0</v>
      </c>
      <c r="AY19" s="117">
        <v>0</v>
      </c>
      <c r="AZ19" s="117">
        <v>0</v>
      </c>
      <c r="BA19" s="117">
        <v>0</v>
      </c>
    </row>
    <row r="20" spans="1:53" s="138" customFormat="1" outlineLevel="2" x14ac:dyDescent="0.25">
      <c r="A20" s="138" t="s">
        <v>196</v>
      </c>
      <c r="B20" s="139" t="s">
        <v>197</v>
      </c>
      <c r="C20" s="140" t="s">
        <v>198</v>
      </c>
      <c r="D20" s="141"/>
      <c r="E20" s="142"/>
      <c r="F20" s="143">
        <v>1176895.1499999999</v>
      </c>
      <c r="G20" s="143">
        <v>1155769.1000000001</v>
      </c>
      <c r="H20" s="144">
        <f t="shared" si="0"/>
        <v>21126.049999999814</v>
      </c>
      <c r="I20" s="145">
        <f t="shared" si="1"/>
        <v>1.8278780770311139E-2</v>
      </c>
      <c r="J20" s="146"/>
      <c r="K20" s="143">
        <v>2472193.9</v>
      </c>
      <c r="L20" s="143">
        <v>2932152.5300000003</v>
      </c>
      <c r="M20" s="144"/>
      <c r="N20" s="145"/>
      <c r="O20" s="147"/>
      <c r="P20" s="146"/>
      <c r="Q20" s="143">
        <v>3825575.83</v>
      </c>
      <c r="R20" s="143">
        <v>4170695.7</v>
      </c>
      <c r="S20" s="144"/>
      <c r="T20" s="145"/>
      <c r="U20" s="146"/>
      <c r="V20" s="143">
        <v>16204211.370000001</v>
      </c>
      <c r="W20" s="143">
        <v>14914255.32</v>
      </c>
      <c r="X20" s="144">
        <f t="shared" si="2"/>
        <v>1289956.0500000007</v>
      </c>
      <c r="Y20" s="145">
        <f t="shared" si="3"/>
        <v>8.6491482298158798E-2</v>
      </c>
      <c r="Z20" s="148"/>
      <c r="AA20" s="149">
        <v>1238543.17</v>
      </c>
      <c r="AB20" s="150"/>
      <c r="AC20" s="117">
        <v>1776383.4300000002</v>
      </c>
      <c r="AD20" s="117">
        <v>1155769.1000000001</v>
      </c>
      <c r="AE20" s="117">
        <v>1173521.8500000001</v>
      </c>
      <c r="AF20" s="117">
        <v>1310859.93</v>
      </c>
      <c r="AG20" s="117">
        <v>1429925.47</v>
      </c>
      <c r="AH20" s="117">
        <v>1524135.28</v>
      </c>
      <c r="AI20" s="117">
        <v>1501150.75</v>
      </c>
      <c r="AJ20" s="117">
        <v>1493472.4</v>
      </c>
      <c r="AK20" s="117">
        <v>1096307.8999999999</v>
      </c>
      <c r="AL20" s="117">
        <v>1292204.6600000001</v>
      </c>
      <c r="AM20" s="117">
        <v>1557057.3</v>
      </c>
      <c r="AN20" s="117">
        <v>1353381.93</v>
      </c>
      <c r="AO20" s="150"/>
      <c r="AP20" s="117">
        <v>1295298.75</v>
      </c>
      <c r="AQ20" s="117">
        <v>1176895.1499999999</v>
      </c>
      <c r="AR20" s="117">
        <v>306305.66000000003</v>
      </c>
      <c r="AS20" s="117">
        <v>0</v>
      </c>
      <c r="AT20" s="117">
        <v>0</v>
      </c>
      <c r="AU20" s="117">
        <v>0</v>
      </c>
      <c r="AV20" s="117">
        <v>0</v>
      </c>
      <c r="AW20" s="117">
        <v>0</v>
      </c>
      <c r="AX20" s="117">
        <v>0</v>
      </c>
      <c r="AY20" s="117">
        <v>0</v>
      </c>
      <c r="AZ20" s="117">
        <v>0</v>
      </c>
      <c r="BA20" s="117">
        <v>0</v>
      </c>
    </row>
    <row r="21" spans="1:53" s="138" customFormat="1" outlineLevel="2" x14ac:dyDescent="0.25">
      <c r="A21" s="138" t="s">
        <v>199</v>
      </c>
      <c r="B21" s="139" t="s">
        <v>200</v>
      </c>
      <c r="C21" s="140" t="s">
        <v>201</v>
      </c>
      <c r="D21" s="141"/>
      <c r="E21" s="142"/>
      <c r="F21" s="143">
        <v>2603853.5700000003</v>
      </c>
      <c r="G21" s="143">
        <v>2764468.18</v>
      </c>
      <c r="H21" s="144">
        <f t="shared" si="0"/>
        <v>-160614.60999999987</v>
      </c>
      <c r="I21" s="145">
        <f t="shared" si="1"/>
        <v>-5.8099641429043274E-2</v>
      </c>
      <c r="J21" s="146"/>
      <c r="K21" s="143">
        <v>5536376.7199999997</v>
      </c>
      <c r="L21" s="143">
        <v>6102193.0700000003</v>
      </c>
      <c r="M21" s="144"/>
      <c r="N21" s="145"/>
      <c r="O21" s="147"/>
      <c r="P21" s="146"/>
      <c r="Q21" s="143">
        <v>8750035.9000000004</v>
      </c>
      <c r="R21" s="143">
        <v>8492250.0500000007</v>
      </c>
      <c r="S21" s="144"/>
      <c r="T21" s="145"/>
      <c r="U21" s="146"/>
      <c r="V21" s="143">
        <v>36530800.890000001</v>
      </c>
      <c r="W21" s="143">
        <v>35279766.740000002</v>
      </c>
      <c r="X21" s="144">
        <f t="shared" si="2"/>
        <v>1251034.1499999985</v>
      </c>
      <c r="Y21" s="145">
        <f t="shared" si="3"/>
        <v>3.5460386096645674E-2</v>
      </c>
      <c r="Z21" s="148"/>
      <c r="AA21" s="149">
        <v>2390056.98</v>
      </c>
      <c r="AB21" s="150"/>
      <c r="AC21" s="117">
        <v>3337724.89</v>
      </c>
      <c r="AD21" s="117">
        <v>2764468.18</v>
      </c>
      <c r="AE21" s="117">
        <v>2575882.56</v>
      </c>
      <c r="AF21" s="117">
        <v>2798509.3</v>
      </c>
      <c r="AG21" s="117">
        <v>2997669.46</v>
      </c>
      <c r="AH21" s="117">
        <v>2765372.0300000003</v>
      </c>
      <c r="AI21" s="117">
        <v>3184103.89</v>
      </c>
      <c r="AJ21" s="117">
        <v>3623438.43</v>
      </c>
      <c r="AK21" s="117">
        <v>3001252.6</v>
      </c>
      <c r="AL21" s="117">
        <v>3304248.5</v>
      </c>
      <c r="AM21" s="117">
        <v>3530288.2199999997</v>
      </c>
      <c r="AN21" s="117">
        <v>3213659.18</v>
      </c>
      <c r="AO21" s="150"/>
      <c r="AP21" s="117">
        <v>2932523.15</v>
      </c>
      <c r="AQ21" s="117">
        <v>2603853.5700000003</v>
      </c>
      <c r="AR21" s="117">
        <v>-583439.57000000007</v>
      </c>
      <c r="AS21" s="117">
        <v>0</v>
      </c>
      <c r="AT21" s="117">
        <v>0</v>
      </c>
      <c r="AU21" s="117">
        <v>0</v>
      </c>
      <c r="AV21" s="117">
        <v>0</v>
      </c>
      <c r="AW21" s="117">
        <v>0</v>
      </c>
      <c r="AX21" s="117">
        <v>0</v>
      </c>
      <c r="AY21" s="117">
        <v>0</v>
      </c>
      <c r="AZ21" s="117">
        <v>0</v>
      </c>
      <c r="BA21" s="117">
        <v>0</v>
      </c>
    </row>
    <row r="22" spans="1:53" s="138" customFormat="1" outlineLevel="2" x14ac:dyDescent="0.25">
      <c r="A22" s="138" t="s">
        <v>202</v>
      </c>
      <c r="B22" s="139" t="s">
        <v>203</v>
      </c>
      <c r="C22" s="140" t="s">
        <v>204</v>
      </c>
      <c r="D22" s="141"/>
      <c r="E22" s="142"/>
      <c r="F22" s="143">
        <v>5554211.3899999997</v>
      </c>
      <c r="G22" s="143">
        <v>5198277.16</v>
      </c>
      <c r="H22" s="144">
        <f t="shared" si="0"/>
        <v>355934.22999999952</v>
      </c>
      <c r="I22" s="145">
        <f t="shared" si="1"/>
        <v>6.8471576071176529E-2</v>
      </c>
      <c r="J22" s="146"/>
      <c r="K22" s="143">
        <v>11357103.630000001</v>
      </c>
      <c r="L22" s="143">
        <v>9812033.6799999997</v>
      </c>
      <c r="M22" s="144"/>
      <c r="N22" s="145"/>
      <c r="O22" s="147"/>
      <c r="P22" s="146"/>
      <c r="Q22" s="143">
        <v>17858808.190000001</v>
      </c>
      <c r="R22" s="143">
        <v>14808926.219999999</v>
      </c>
      <c r="S22" s="144"/>
      <c r="T22" s="145"/>
      <c r="U22" s="146"/>
      <c r="V22" s="143">
        <v>69447234.039999992</v>
      </c>
      <c r="W22" s="143">
        <v>71535597.916000009</v>
      </c>
      <c r="X22" s="144">
        <f t="shared" si="2"/>
        <v>-2088363.8760000169</v>
      </c>
      <c r="Y22" s="145">
        <f t="shared" si="3"/>
        <v>-2.9193351797412222E-2</v>
      </c>
      <c r="Z22" s="148"/>
      <c r="AA22" s="149">
        <v>4996892.54</v>
      </c>
      <c r="AB22" s="150"/>
      <c r="AC22" s="117">
        <v>4613756.5199999996</v>
      </c>
      <c r="AD22" s="117">
        <v>5198277.16</v>
      </c>
      <c r="AE22" s="117">
        <v>5793718.0800000001</v>
      </c>
      <c r="AF22" s="117">
        <v>5717971.5499999998</v>
      </c>
      <c r="AG22" s="117">
        <v>5897922.1500000004</v>
      </c>
      <c r="AH22" s="117">
        <v>5185116.54</v>
      </c>
      <c r="AI22" s="117">
        <v>4879763.38</v>
      </c>
      <c r="AJ22" s="117">
        <v>5748233.5199999996</v>
      </c>
      <c r="AK22" s="117">
        <v>5461199.3799999999</v>
      </c>
      <c r="AL22" s="117">
        <v>6224301.6500000004</v>
      </c>
      <c r="AM22" s="117">
        <v>6680199.5999999996</v>
      </c>
      <c r="AN22" s="117">
        <v>6501704.5599999996</v>
      </c>
      <c r="AO22" s="150"/>
      <c r="AP22" s="117">
        <v>5802892.2400000002</v>
      </c>
      <c r="AQ22" s="117">
        <v>5554211.3899999997</v>
      </c>
      <c r="AR22" s="117">
        <v>-1003442.27</v>
      </c>
      <c r="AS22" s="117">
        <v>0</v>
      </c>
      <c r="AT22" s="117">
        <v>0</v>
      </c>
      <c r="AU22" s="117">
        <v>0</v>
      </c>
      <c r="AV22" s="117">
        <v>0</v>
      </c>
      <c r="AW22" s="117">
        <v>0</v>
      </c>
      <c r="AX22" s="117">
        <v>0</v>
      </c>
      <c r="AY22" s="117">
        <v>0</v>
      </c>
      <c r="AZ22" s="117">
        <v>0</v>
      </c>
      <c r="BA22" s="117">
        <v>0</v>
      </c>
    </row>
    <row r="23" spans="1:53" s="211" customFormat="1" outlineLevel="1" x14ac:dyDescent="0.25">
      <c r="A23" s="211" t="s">
        <v>205</v>
      </c>
      <c r="B23" s="212"/>
      <c r="C23" s="213" t="s">
        <v>186</v>
      </c>
      <c r="D23" s="229"/>
      <c r="E23" s="229"/>
      <c r="F23" s="215">
        <v>23913303.990000002</v>
      </c>
      <c r="G23" s="215">
        <v>23863503.43</v>
      </c>
      <c r="H23" s="236">
        <f t="shared" si="0"/>
        <v>49800.560000002384</v>
      </c>
      <c r="I23" s="237">
        <f t="shared" si="1"/>
        <v>2.086892234666416E-3</v>
      </c>
      <c r="J23" s="231"/>
      <c r="K23" s="215">
        <v>48952870.130000003</v>
      </c>
      <c r="L23" s="215">
        <v>52612602.32</v>
      </c>
      <c r="M23" s="215"/>
      <c r="N23" s="232"/>
      <c r="O23" s="233"/>
      <c r="P23" s="233"/>
      <c r="Q23" s="215">
        <v>76022835.340000004</v>
      </c>
      <c r="R23" s="215">
        <v>76994445.599999994</v>
      </c>
      <c r="S23" s="215"/>
      <c r="T23" s="230"/>
      <c r="U23" s="233"/>
      <c r="V23" s="215">
        <v>313116338.36000001</v>
      </c>
      <c r="W23" s="215">
        <v>307913852.89999998</v>
      </c>
      <c r="X23" s="236">
        <f t="shared" si="2"/>
        <v>5202485.4600000381</v>
      </c>
      <c r="Y23" s="232">
        <f t="shared" si="3"/>
        <v>1.6895912317688513E-2</v>
      </c>
      <c r="AA23" s="215">
        <v>24381843.280000001</v>
      </c>
      <c r="AB23" s="235"/>
      <c r="AC23" s="215">
        <v>28749098.890000001</v>
      </c>
      <c r="AD23" s="215">
        <v>23863503.43</v>
      </c>
      <c r="AE23" s="215">
        <v>24234884.649999999</v>
      </c>
      <c r="AF23" s="215">
        <v>25746104.580000002</v>
      </c>
      <c r="AG23" s="215">
        <v>26857626.200000003</v>
      </c>
      <c r="AH23" s="215">
        <v>26942748.250000004</v>
      </c>
      <c r="AI23" s="215">
        <v>26389198.940000001</v>
      </c>
      <c r="AJ23" s="215">
        <v>27670028.439999998</v>
      </c>
      <c r="AK23" s="215">
        <v>23134502.440000001</v>
      </c>
      <c r="AL23" s="215">
        <v>26043257.25</v>
      </c>
      <c r="AM23" s="215">
        <v>30075152.269999996</v>
      </c>
      <c r="AN23" s="215">
        <v>27069965.209999997</v>
      </c>
      <c r="AO23" s="235"/>
      <c r="AP23" s="215">
        <v>25039566.140000001</v>
      </c>
      <c r="AQ23" s="215">
        <v>23913303.990000002</v>
      </c>
      <c r="AR23" s="215">
        <v>2558459.0400000005</v>
      </c>
      <c r="AS23" s="215">
        <v>0</v>
      </c>
      <c r="AT23" s="215">
        <v>0</v>
      </c>
      <c r="AU23" s="215">
        <v>0</v>
      </c>
      <c r="AV23" s="215">
        <v>0</v>
      </c>
      <c r="AW23" s="215">
        <v>0</v>
      </c>
      <c r="AX23" s="215">
        <v>0</v>
      </c>
      <c r="AY23" s="215">
        <v>0</v>
      </c>
      <c r="AZ23" s="215">
        <v>0</v>
      </c>
      <c r="BA23" s="215">
        <v>0</v>
      </c>
    </row>
    <row r="24" spans="1:53" s="211" customFormat="1" ht="0.75" customHeight="1" outlineLevel="2" x14ac:dyDescent="0.25">
      <c r="B24" s="212"/>
      <c r="C24" s="213"/>
      <c r="D24" s="229"/>
      <c r="E24" s="229"/>
      <c r="F24" s="215"/>
      <c r="G24" s="215"/>
      <c r="H24" s="215"/>
      <c r="I24" s="230"/>
      <c r="J24" s="231"/>
      <c r="K24" s="215"/>
      <c r="L24" s="215"/>
      <c r="M24" s="215"/>
      <c r="N24" s="232"/>
      <c r="O24" s="233"/>
      <c r="P24" s="233"/>
      <c r="Q24" s="215"/>
      <c r="R24" s="215"/>
      <c r="S24" s="215"/>
      <c r="T24" s="230"/>
      <c r="U24" s="233"/>
      <c r="V24" s="215"/>
      <c r="W24" s="215"/>
      <c r="X24" s="215"/>
      <c r="Y24" s="234"/>
      <c r="AA24" s="215"/>
      <c r="AB24" s="23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3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</row>
    <row r="25" spans="1:53" s="138" customFormat="1" outlineLevel="2" x14ac:dyDescent="0.25">
      <c r="A25" s="138" t="s">
        <v>206</v>
      </c>
      <c r="B25" s="139" t="s">
        <v>207</v>
      </c>
      <c r="C25" s="140" t="s">
        <v>208</v>
      </c>
      <c r="D25" s="141"/>
      <c r="E25" s="142"/>
      <c r="F25" s="143">
        <v>136462.76999999999</v>
      </c>
      <c r="G25" s="143">
        <v>128576.27</v>
      </c>
      <c r="H25" s="144">
        <f>+F25-G25</f>
        <v>7886.4999999999854</v>
      </c>
      <c r="I25" s="145">
        <f>IF(G25&lt;0,IF(H25=0,0,IF(OR(G25=0,F25=0),"N.M.",IF(ABS(H25/G25)&gt;=10,"N.M.",H25/(-G25)))),IF(H25=0,0,IF(OR(G25=0,F25=0),"N.M.",IF(ABS(H25/G25)&gt;=10,"N.M.",H25/G25))))</f>
        <v>6.1337134760558736E-2</v>
      </c>
      <c r="J25" s="146"/>
      <c r="K25" s="143">
        <v>270078</v>
      </c>
      <c r="L25" s="143">
        <v>272202.44</v>
      </c>
      <c r="M25" s="144"/>
      <c r="N25" s="145"/>
      <c r="O25" s="147"/>
      <c r="P25" s="146"/>
      <c r="Q25" s="143">
        <v>408697.56</v>
      </c>
      <c r="R25" s="143">
        <v>409152.73</v>
      </c>
      <c r="S25" s="144"/>
      <c r="T25" s="145"/>
      <c r="U25" s="146"/>
      <c r="V25" s="143">
        <v>1677027.94</v>
      </c>
      <c r="W25" s="143">
        <v>1547838.33</v>
      </c>
      <c r="X25" s="144">
        <f>+V25-W25</f>
        <v>129189.60999999987</v>
      </c>
      <c r="Y25" s="145">
        <f>IF(W25&lt;0,IF(X25=0,0,IF(OR(W25=0,V25=0),"N.M.",IF(ABS(X25/W25)&gt;=10,"N.M.",X25/(-W25)))),IF(X25=0,0,IF(OR(W25=0,V25=0),"N.M.",IF(ABS(X25/W25)&gt;=10,"N.M.",X25/W25))))</f>
        <v>8.3464537281487186E-2</v>
      </c>
      <c r="Z25" s="148"/>
      <c r="AA25" s="149">
        <v>136950.29</v>
      </c>
      <c r="AB25" s="150"/>
      <c r="AC25" s="117">
        <v>143626.17000000001</v>
      </c>
      <c r="AD25" s="117">
        <v>128576.27</v>
      </c>
      <c r="AE25" s="117">
        <v>131188.23000000001</v>
      </c>
      <c r="AF25" s="117">
        <v>140868.71</v>
      </c>
      <c r="AG25" s="117">
        <v>143805.9</v>
      </c>
      <c r="AH25" s="117">
        <v>160454.83000000002</v>
      </c>
      <c r="AI25" s="117">
        <v>148341.43</v>
      </c>
      <c r="AJ25" s="117">
        <v>137443.73000000001</v>
      </c>
      <c r="AK25" s="117">
        <v>128926.18000000001</v>
      </c>
      <c r="AL25" s="117">
        <v>131614.36000000002</v>
      </c>
      <c r="AM25" s="117">
        <v>145687.01</v>
      </c>
      <c r="AN25" s="117">
        <v>138619.56</v>
      </c>
      <c r="AO25" s="150"/>
      <c r="AP25" s="117">
        <v>133615.23000000001</v>
      </c>
      <c r="AQ25" s="117">
        <v>136462.76999999999</v>
      </c>
      <c r="AR25" s="117">
        <v>5285.42</v>
      </c>
      <c r="AS25" s="117">
        <v>0</v>
      </c>
      <c r="AT25" s="117">
        <v>0</v>
      </c>
      <c r="AU25" s="117">
        <v>0</v>
      </c>
      <c r="AV25" s="117">
        <v>0</v>
      </c>
      <c r="AW25" s="117">
        <v>0</v>
      </c>
      <c r="AX25" s="117">
        <v>0</v>
      </c>
      <c r="AY25" s="117">
        <v>0</v>
      </c>
      <c r="AZ25" s="117">
        <v>0</v>
      </c>
      <c r="BA25" s="117">
        <v>0</v>
      </c>
    </row>
    <row r="26" spans="1:53" s="138" customFormat="1" outlineLevel="2" x14ac:dyDescent="0.25">
      <c r="A26" s="138" t="s">
        <v>209</v>
      </c>
      <c r="B26" s="139" t="s">
        <v>210</v>
      </c>
      <c r="C26" s="140" t="s">
        <v>211</v>
      </c>
      <c r="D26" s="141"/>
      <c r="E26" s="142"/>
      <c r="F26" s="143">
        <v>26075.670000000002</v>
      </c>
      <c r="G26" s="143">
        <v>24025.02</v>
      </c>
      <c r="H26" s="144">
        <f>+F26-G26</f>
        <v>2050.6500000000015</v>
      </c>
      <c r="I26" s="145">
        <f>IF(G26&lt;0,IF(H26=0,0,IF(OR(G26=0,F26=0),"N.M.",IF(ABS(H26/G26)&gt;=10,"N.M.",H26/(-G26)))),IF(H26=0,0,IF(OR(G26=0,F26=0),"N.M.",IF(ABS(H26/G26)&gt;=10,"N.M.",H26/G26))))</f>
        <v>8.5354767654720012E-2</v>
      </c>
      <c r="J26" s="146"/>
      <c r="K26" s="143">
        <v>57213.93</v>
      </c>
      <c r="L26" s="143">
        <v>48928.200000000004</v>
      </c>
      <c r="M26" s="144"/>
      <c r="N26" s="145"/>
      <c r="O26" s="147"/>
      <c r="P26" s="146"/>
      <c r="Q26" s="143">
        <v>92356.98000000001</v>
      </c>
      <c r="R26" s="143">
        <v>75292.640000000014</v>
      </c>
      <c r="S26" s="144"/>
      <c r="T26" s="145"/>
      <c r="U26" s="146"/>
      <c r="V26" s="143">
        <v>303942.56</v>
      </c>
      <c r="W26" s="143">
        <v>284328.77</v>
      </c>
      <c r="X26" s="144">
        <f>+V26-W26</f>
        <v>19613.789999999979</v>
      </c>
      <c r="Y26" s="145">
        <f>IF(W26&lt;0,IF(X26=0,0,IF(OR(W26=0,V26=0),"N.M.",IF(ABS(X26/W26)&gt;=10,"N.M.",X26/(-W26)))),IF(X26=0,0,IF(OR(W26=0,V26=0),"N.M.",IF(ABS(X26/W26)&gt;=10,"N.M.",X26/W26))))</f>
        <v>6.8982783557217861E-2</v>
      </c>
      <c r="Z26" s="148"/>
      <c r="AA26" s="149">
        <v>26364.440000000002</v>
      </c>
      <c r="AB26" s="150"/>
      <c r="AC26" s="117">
        <v>24903.18</v>
      </c>
      <c r="AD26" s="117">
        <v>24025.02</v>
      </c>
      <c r="AE26" s="117">
        <v>24726.55</v>
      </c>
      <c r="AF26" s="117">
        <v>22135.43</v>
      </c>
      <c r="AG26" s="117">
        <v>20502.86</v>
      </c>
      <c r="AH26" s="117">
        <v>16940.2</v>
      </c>
      <c r="AI26" s="117">
        <v>17646.330000000002</v>
      </c>
      <c r="AJ26" s="117">
        <v>21530.74</v>
      </c>
      <c r="AK26" s="117">
        <v>24031.5</v>
      </c>
      <c r="AL26" s="117">
        <v>30090.98</v>
      </c>
      <c r="AM26" s="117">
        <v>33980.99</v>
      </c>
      <c r="AN26" s="117">
        <v>35143.050000000003</v>
      </c>
      <c r="AO26" s="150"/>
      <c r="AP26" s="117">
        <v>31138.260000000002</v>
      </c>
      <c r="AQ26" s="117">
        <v>26075.670000000002</v>
      </c>
      <c r="AR26" s="117">
        <v>-1011.5600000000001</v>
      </c>
      <c r="AS26" s="117">
        <v>0</v>
      </c>
      <c r="AT26" s="117">
        <v>0</v>
      </c>
      <c r="AU26" s="117">
        <v>0</v>
      </c>
      <c r="AV26" s="117">
        <v>0</v>
      </c>
      <c r="AW26" s="117">
        <v>0</v>
      </c>
      <c r="AX26" s="117">
        <v>0</v>
      </c>
      <c r="AY26" s="117">
        <v>0</v>
      </c>
      <c r="AZ26" s="117">
        <v>0</v>
      </c>
      <c r="BA26" s="117">
        <v>0</v>
      </c>
    </row>
    <row r="27" spans="1:53" s="211" customFormat="1" outlineLevel="1" x14ac:dyDescent="0.25">
      <c r="A27" s="211" t="s">
        <v>212</v>
      </c>
      <c r="B27" s="212"/>
      <c r="C27" s="213" t="s">
        <v>213</v>
      </c>
      <c r="D27" s="229"/>
      <c r="E27" s="229"/>
      <c r="F27" s="215">
        <v>162538.44</v>
      </c>
      <c r="G27" s="215">
        <v>152601.29</v>
      </c>
      <c r="H27" s="236">
        <f>+F27-G27</f>
        <v>9937.1499999999942</v>
      </c>
      <c r="I27" s="237">
        <f>IF(G27&lt;0,IF(H27=0,0,IF(OR(G27=0,F27=0),"N.M.",IF(ABS(H27/G27)&gt;=10,"N.M.",H27/(-G27)))),IF(H27=0,0,IF(OR(G27=0,F27=0),"N.M.",IF(ABS(H27/G27)&gt;=10,"N.M.",H27/G27))))</f>
        <v>6.5118387924505708E-2</v>
      </c>
      <c r="J27" s="231"/>
      <c r="K27" s="215">
        <v>327291.93</v>
      </c>
      <c r="L27" s="215">
        <v>321130.64</v>
      </c>
      <c r="M27" s="215"/>
      <c r="N27" s="232"/>
      <c r="O27" s="233"/>
      <c r="P27" s="233"/>
      <c r="Q27" s="215">
        <v>501054.54</v>
      </c>
      <c r="R27" s="215">
        <v>484445.37000000005</v>
      </c>
      <c r="S27" s="215"/>
      <c r="T27" s="230"/>
      <c r="U27" s="233"/>
      <c r="V27" s="215">
        <v>1980970.4999999998</v>
      </c>
      <c r="W27" s="215">
        <v>1832167.1</v>
      </c>
      <c r="X27" s="236">
        <f>+V27-W27</f>
        <v>148803.39999999967</v>
      </c>
      <c r="Y27" s="232">
        <f>IF(W27&lt;0,IF(X27=0,0,IF(OR(W27=0,V27=0),"N.M.",IF(ABS(X27/W27)&gt;=10,"N.M.",X27/(-W27)))),IF(X27=0,0,IF(OR(W27=0,V27=0),"N.M.",IF(ABS(X27/W27)&gt;=10,"N.M.",X27/W27))))</f>
        <v>8.1217155356626408E-2</v>
      </c>
      <c r="AA27" s="215">
        <v>163314.73000000001</v>
      </c>
      <c r="AB27" s="235"/>
      <c r="AC27" s="215">
        <v>168529.35</v>
      </c>
      <c r="AD27" s="215">
        <v>152601.29</v>
      </c>
      <c r="AE27" s="215">
        <v>155914.78</v>
      </c>
      <c r="AF27" s="215">
        <v>163004.13999999998</v>
      </c>
      <c r="AG27" s="215">
        <v>164308.76</v>
      </c>
      <c r="AH27" s="215">
        <v>177395.03000000003</v>
      </c>
      <c r="AI27" s="215">
        <v>165987.76</v>
      </c>
      <c r="AJ27" s="215">
        <v>158974.47</v>
      </c>
      <c r="AK27" s="215">
        <v>152957.68</v>
      </c>
      <c r="AL27" s="215">
        <v>161705.34000000003</v>
      </c>
      <c r="AM27" s="215">
        <v>179668</v>
      </c>
      <c r="AN27" s="215">
        <v>173762.61</v>
      </c>
      <c r="AO27" s="235"/>
      <c r="AP27" s="215">
        <v>164753.49000000002</v>
      </c>
      <c r="AQ27" s="215">
        <v>162538.44</v>
      </c>
      <c r="AR27" s="215">
        <v>4273.8599999999997</v>
      </c>
      <c r="AS27" s="215">
        <v>0</v>
      </c>
      <c r="AT27" s="215">
        <v>0</v>
      </c>
      <c r="AU27" s="215">
        <v>0</v>
      </c>
      <c r="AV27" s="215">
        <v>0</v>
      </c>
      <c r="AW27" s="215">
        <v>0</v>
      </c>
      <c r="AX27" s="215">
        <v>0</v>
      </c>
      <c r="AY27" s="215">
        <v>0</v>
      </c>
      <c r="AZ27" s="215">
        <v>0</v>
      </c>
      <c r="BA27" s="215">
        <v>0</v>
      </c>
    </row>
    <row r="28" spans="1:53" s="211" customFormat="1" ht="0.75" customHeight="1" outlineLevel="2" x14ac:dyDescent="0.25">
      <c r="B28" s="212"/>
      <c r="C28" s="213"/>
      <c r="D28" s="229"/>
      <c r="E28" s="229"/>
      <c r="F28" s="215"/>
      <c r="G28" s="215"/>
      <c r="H28" s="215"/>
      <c r="I28" s="230"/>
      <c r="J28" s="231"/>
      <c r="K28" s="215"/>
      <c r="L28" s="215"/>
      <c r="M28" s="215"/>
      <c r="N28" s="232"/>
      <c r="O28" s="233"/>
      <c r="P28" s="233"/>
      <c r="Q28" s="215"/>
      <c r="R28" s="215"/>
      <c r="S28" s="215"/>
      <c r="T28" s="230"/>
      <c r="U28" s="233"/>
      <c r="V28" s="215"/>
      <c r="W28" s="215"/>
      <c r="X28" s="215"/>
      <c r="Y28" s="234"/>
      <c r="AA28" s="215"/>
      <c r="AB28" s="23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3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</row>
    <row r="29" spans="1:53" s="138" customFormat="1" outlineLevel="2" x14ac:dyDescent="0.25">
      <c r="A29" s="138" t="s">
        <v>214</v>
      </c>
      <c r="B29" s="139" t="s">
        <v>215</v>
      </c>
      <c r="C29" s="140" t="s">
        <v>216</v>
      </c>
      <c r="D29" s="141"/>
      <c r="E29" s="142"/>
      <c r="F29" s="143">
        <v>0</v>
      </c>
      <c r="G29" s="143">
        <v>42316.950000000004</v>
      </c>
      <c r="H29" s="144">
        <f t="shared" ref="H29:H72" si="4">+F29-G29</f>
        <v>-42316.950000000004</v>
      </c>
      <c r="I29" s="145" t="str">
        <f t="shared" ref="I29:I72" si="5">IF(G29&lt;0,IF(H29=0,0,IF(OR(G29=0,F29=0),"N.M.",IF(ABS(H29/G29)&gt;=10,"N.M.",H29/(-G29)))),IF(H29=0,0,IF(OR(G29=0,F29=0),"N.M.",IF(ABS(H29/G29)&gt;=10,"N.M.",H29/G29))))</f>
        <v>N.M.</v>
      </c>
      <c r="J29" s="146"/>
      <c r="K29" s="143">
        <v>0</v>
      </c>
      <c r="L29" s="143">
        <v>50990.14</v>
      </c>
      <c r="M29" s="144"/>
      <c r="N29" s="145"/>
      <c r="O29" s="147"/>
      <c r="P29" s="146"/>
      <c r="Q29" s="143">
        <v>0</v>
      </c>
      <c r="R29" s="143">
        <v>54786.21</v>
      </c>
      <c r="S29" s="144"/>
      <c r="T29" s="145"/>
      <c r="U29" s="146"/>
      <c r="V29" s="143">
        <v>288413.37</v>
      </c>
      <c r="W29" s="143">
        <v>2425547.1</v>
      </c>
      <c r="X29" s="144">
        <f t="shared" ref="X29:X72" si="6">+V29-W29</f>
        <v>-2137133.73</v>
      </c>
      <c r="Y29" s="145">
        <f t="shared" ref="Y29:Y72" si="7">IF(W29&lt;0,IF(X29=0,0,IF(OR(W29=0,V29=0),"N.M.",IF(ABS(X29/W29)&gt;=10,"N.M.",X29/(-W29)))),IF(X29=0,0,IF(OR(W29=0,V29=0),"N.M.",IF(ABS(X29/W29)&gt;=10,"N.M.",X29/W29))))</f>
        <v>-0.8810934778384637</v>
      </c>
      <c r="Z29" s="148"/>
      <c r="AA29" s="149">
        <v>3796.07</v>
      </c>
      <c r="AB29" s="150"/>
      <c r="AC29" s="117">
        <v>8673.19</v>
      </c>
      <c r="AD29" s="117">
        <v>42316.950000000004</v>
      </c>
      <c r="AE29" s="117">
        <v>197890.81</v>
      </c>
      <c r="AF29" s="117">
        <v>11484.76</v>
      </c>
      <c r="AG29" s="117">
        <v>48120.99</v>
      </c>
      <c r="AH29" s="117">
        <v>16945.689999999999</v>
      </c>
      <c r="AI29" s="117">
        <v>13413.86</v>
      </c>
      <c r="AJ29" s="117">
        <v>-71.8</v>
      </c>
      <c r="AK29" s="117">
        <v>629.06000000000006</v>
      </c>
      <c r="AL29" s="117">
        <v>0</v>
      </c>
      <c r="AM29" s="117">
        <v>0</v>
      </c>
      <c r="AN29" s="117">
        <v>0</v>
      </c>
      <c r="AO29" s="150"/>
      <c r="AP29" s="117">
        <v>0</v>
      </c>
      <c r="AQ29" s="117">
        <v>0</v>
      </c>
      <c r="AR29" s="117">
        <v>0</v>
      </c>
      <c r="AS29" s="117">
        <v>0</v>
      </c>
      <c r="AT29" s="117">
        <v>0</v>
      </c>
      <c r="AU29" s="117">
        <v>0</v>
      </c>
      <c r="AV29" s="117">
        <v>0</v>
      </c>
      <c r="AW29" s="117">
        <v>0</v>
      </c>
      <c r="AX29" s="117">
        <v>0</v>
      </c>
      <c r="AY29" s="117">
        <v>0</v>
      </c>
      <c r="AZ29" s="117">
        <v>0</v>
      </c>
      <c r="BA29" s="117">
        <v>0</v>
      </c>
    </row>
    <row r="30" spans="1:53" s="138" customFormat="1" outlineLevel="2" x14ac:dyDescent="0.25">
      <c r="A30" s="138" t="s">
        <v>217</v>
      </c>
      <c r="B30" s="139" t="s">
        <v>218</v>
      </c>
      <c r="C30" s="140" t="s">
        <v>219</v>
      </c>
      <c r="D30" s="141"/>
      <c r="E30" s="142"/>
      <c r="F30" s="143">
        <v>456818.29000000004</v>
      </c>
      <c r="G30" s="143">
        <v>1037541.67</v>
      </c>
      <c r="H30" s="144">
        <f t="shared" si="4"/>
        <v>-580723.38</v>
      </c>
      <c r="I30" s="145">
        <f t="shared" si="5"/>
        <v>-0.55971089816566111</v>
      </c>
      <c r="J30" s="146"/>
      <c r="K30" s="143">
        <v>972027.5</v>
      </c>
      <c r="L30" s="143">
        <v>2311878.04</v>
      </c>
      <c r="M30" s="144"/>
      <c r="N30" s="145"/>
      <c r="O30" s="147"/>
      <c r="P30" s="146"/>
      <c r="Q30" s="143">
        <v>1778096.6400000001</v>
      </c>
      <c r="R30" s="143">
        <v>3793806.16</v>
      </c>
      <c r="S30" s="144"/>
      <c r="T30" s="145"/>
      <c r="U30" s="146"/>
      <c r="V30" s="143">
        <v>10266364.23</v>
      </c>
      <c r="W30" s="143">
        <v>14149162.539999999</v>
      </c>
      <c r="X30" s="144">
        <f t="shared" si="6"/>
        <v>-3882798.3099999987</v>
      </c>
      <c r="Y30" s="145">
        <f t="shared" si="7"/>
        <v>-0.27441894875567657</v>
      </c>
      <c r="Z30" s="148"/>
      <c r="AA30" s="149">
        <v>1481928.12</v>
      </c>
      <c r="AB30" s="150"/>
      <c r="AC30" s="117">
        <v>1274336.3700000001</v>
      </c>
      <c r="AD30" s="117">
        <v>1037541.67</v>
      </c>
      <c r="AE30" s="117">
        <v>958511.72</v>
      </c>
      <c r="AF30" s="117">
        <v>995877.9</v>
      </c>
      <c r="AG30" s="117">
        <v>970306.62</v>
      </c>
      <c r="AH30" s="117">
        <v>1110728.43</v>
      </c>
      <c r="AI30" s="117">
        <v>1060288.95</v>
      </c>
      <c r="AJ30" s="117">
        <v>1199184.95</v>
      </c>
      <c r="AK30" s="117">
        <v>827285.09</v>
      </c>
      <c r="AL30" s="117">
        <v>640674.55000000005</v>
      </c>
      <c r="AM30" s="117">
        <v>725409.38</v>
      </c>
      <c r="AN30" s="117">
        <v>806069.14</v>
      </c>
      <c r="AO30" s="150"/>
      <c r="AP30" s="117">
        <v>515209.21</v>
      </c>
      <c r="AQ30" s="117">
        <v>456818.29000000004</v>
      </c>
      <c r="AR30" s="117">
        <v>-348105.2</v>
      </c>
      <c r="AS30" s="117">
        <v>0</v>
      </c>
      <c r="AT30" s="117">
        <v>0</v>
      </c>
      <c r="AU30" s="117">
        <v>0</v>
      </c>
      <c r="AV30" s="117">
        <v>0</v>
      </c>
      <c r="AW30" s="117">
        <v>0</v>
      </c>
      <c r="AX30" s="117">
        <v>0</v>
      </c>
      <c r="AY30" s="117">
        <v>0</v>
      </c>
      <c r="AZ30" s="117">
        <v>0</v>
      </c>
      <c r="BA30" s="117">
        <v>0</v>
      </c>
    </row>
    <row r="31" spans="1:53" s="138" customFormat="1" outlineLevel="2" x14ac:dyDescent="0.25">
      <c r="A31" s="138" t="s">
        <v>220</v>
      </c>
      <c r="B31" s="139" t="s">
        <v>221</v>
      </c>
      <c r="C31" s="140" t="s">
        <v>222</v>
      </c>
      <c r="D31" s="141"/>
      <c r="E31" s="142"/>
      <c r="F31" s="143">
        <v>-286778.18</v>
      </c>
      <c r="G31" s="143">
        <v>-1154469.18</v>
      </c>
      <c r="H31" s="144">
        <f t="shared" si="4"/>
        <v>867691</v>
      </c>
      <c r="I31" s="145">
        <f t="shared" si="5"/>
        <v>0.75159303949543288</v>
      </c>
      <c r="J31" s="146"/>
      <c r="K31" s="143">
        <v>-654907.43000000005</v>
      </c>
      <c r="L31" s="143">
        <v>-1965714.33</v>
      </c>
      <c r="M31" s="144"/>
      <c r="N31" s="145"/>
      <c r="O31" s="147"/>
      <c r="P31" s="146"/>
      <c r="Q31" s="143">
        <v>-1334188.27</v>
      </c>
      <c r="R31" s="143">
        <v>-2819193.23</v>
      </c>
      <c r="S31" s="144"/>
      <c r="T31" s="145"/>
      <c r="U31" s="146"/>
      <c r="V31" s="143">
        <v>-7787039.71</v>
      </c>
      <c r="W31" s="143">
        <v>-9947305.6099999994</v>
      </c>
      <c r="X31" s="144">
        <f t="shared" si="6"/>
        <v>2160265.8999999994</v>
      </c>
      <c r="Y31" s="145">
        <f t="shared" si="7"/>
        <v>0.21717095912166307</v>
      </c>
      <c r="Z31" s="148"/>
      <c r="AA31" s="149">
        <v>-853478.9</v>
      </c>
      <c r="AB31" s="150"/>
      <c r="AC31" s="117">
        <v>-811245.15</v>
      </c>
      <c r="AD31" s="117">
        <v>-1154469.18</v>
      </c>
      <c r="AE31" s="117">
        <v>-759299.87</v>
      </c>
      <c r="AF31" s="117">
        <v>-877386.98</v>
      </c>
      <c r="AG31" s="117">
        <v>-789363.07000000007</v>
      </c>
      <c r="AH31" s="117">
        <v>-600830.63</v>
      </c>
      <c r="AI31" s="117">
        <v>-859572.95000000007</v>
      </c>
      <c r="AJ31" s="117">
        <v>-935833.21</v>
      </c>
      <c r="AK31" s="117">
        <v>-654183.91</v>
      </c>
      <c r="AL31" s="117">
        <v>-492447.54000000004</v>
      </c>
      <c r="AM31" s="117">
        <v>-483933.28</v>
      </c>
      <c r="AN31" s="117">
        <v>-679280.84</v>
      </c>
      <c r="AO31" s="150"/>
      <c r="AP31" s="117">
        <v>-368129.25</v>
      </c>
      <c r="AQ31" s="117">
        <v>-286778.18</v>
      </c>
      <c r="AR31" s="117">
        <v>2068.3200000000002</v>
      </c>
      <c r="AS31" s="117">
        <v>0</v>
      </c>
      <c r="AT31" s="117">
        <v>0</v>
      </c>
      <c r="AU31" s="117">
        <v>0</v>
      </c>
      <c r="AV31" s="117">
        <v>0</v>
      </c>
      <c r="AW31" s="117">
        <v>0</v>
      </c>
      <c r="AX31" s="117">
        <v>0</v>
      </c>
      <c r="AY31" s="117">
        <v>0</v>
      </c>
      <c r="AZ31" s="117">
        <v>0</v>
      </c>
      <c r="BA31" s="117">
        <v>0</v>
      </c>
    </row>
    <row r="32" spans="1:53" s="138" customFormat="1" outlineLevel="2" x14ac:dyDescent="0.25">
      <c r="A32" s="138" t="s">
        <v>223</v>
      </c>
      <c r="B32" s="139" t="s">
        <v>224</v>
      </c>
      <c r="C32" s="140" t="s">
        <v>225</v>
      </c>
      <c r="D32" s="141"/>
      <c r="E32" s="142"/>
      <c r="F32" s="143">
        <v>181134.76</v>
      </c>
      <c r="G32" s="143">
        <v>252172.44</v>
      </c>
      <c r="H32" s="144">
        <f t="shared" si="4"/>
        <v>-71037.679999999993</v>
      </c>
      <c r="I32" s="145">
        <f t="shared" si="5"/>
        <v>-0.28170279036043744</v>
      </c>
      <c r="J32" s="146"/>
      <c r="K32" s="143">
        <v>431165.02</v>
      </c>
      <c r="L32" s="143">
        <v>511538.88</v>
      </c>
      <c r="M32" s="144"/>
      <c r="N32" s="145"/>
      <c r="O32" s="147"/>
      <c r="P32" s="146"/>
      <c r="Q32" s="143">
        <v>683541.72</v>
      </c>
      <c r="R32" s="143">
        <v>718098.25</v>
      </c>
      <c r="S32" s="144"/>
      <c r="T32" s="145"/>
      <c r="U32" s="146"/>
      <c r="V32" s="143">
        <v>2268561.36</v>
      </c>
      <c r="W32" s="143">
        <v>2535885.9500000002</v>
      </c>
      <c r="X32" s="144">
        <f t="shared" si="6"/>
        <v>-267324.59000000032</v>
      </c>
      <c r="Y32" s="145">
        <f t="shared" si="7"/>
        <v>-0.10541664541341077</v>
      </c>
      <c r="Z32" s="148"/>
      <c r="AA32" s="149">
        <v>206559.37</v>
      </c>
      <c r="AB32" s="150"/>
      <c r="AC32" s="117">
        <v>259366.44</v>
      </c>
      <c r="AD32" s="117">
        <v>252172.44</v>
      </c>
      <c r="AE32" s="117">
        <v>124423.92</v>
      </c>
      <c r="AF32" s="117">
        <v>168057.46</v>
      </c>
      <c r="AG32" s="117">
        <v>160069.99</v>
      </c>
      <c r="AH32" s="117">
        <v>173679.84</v>
      </c>
      <c r="AI32" s="117">
        <v>197425.41</v>
      </c>
      <c r="AJ32" s="117">
        <v>261490.41</v>
      </c>
      <c r="AK32" s="117">
        <v>167431.87</v>
      </c>
      <c r="AL32" s="117">
        <v>145831.69</v>
      </c>
      <c r="AM32" s="117">
        <v>186609.05000000002</v>
      </c>
      <c r="AN32" s="117">
        <v>252376.7</v>
      </c>
      <c r="AO32" s="150"/>
      <c r="AP32" s="117">
        <v>250030.26</v>
      </c>
      <c r="AQ32" s="117">
        <v>181134.76</v>
      </c>
      <c r="AR32" s="117">
        <v>0</v>
      </c>
      <c r="AS32" s="117">
        <v>0</v>
      </c>
      <c r="AT32" s="117">
        <v>0</v>
      </c>
      <c r="AU32" s="117">
        <v>0</v>
      </c>
      <c r="AV32" s="117">
        <v>0</v>
      </c>
      <c r="AW32" s="117">
        <v>0</v>
      </c>
      <c r="AX32" s="117">
        <v>0</v>
      </c>
      <c r="AY32" s="117">
        <v>0</v>
      </c>
      <c r="AZ32" s="117">
        <v>0</v>
      </c>
      <c r="BA32" s="117">
        <v>0</v>
      </c>
    </row>
    <row r="33" spans="1:53" s="138" customFormat="1" outlineLevel="2" x14ac:dyDescent="0.25">
      <c r="A33" s="138" t="s">
        <v>226</v>
      </c>
      <c r="B33" s="139" t="s">
        <v>227</v>
      </c>
      <c r="C33" s="140" t="s">
        <v>228</v>
      </c>
      <c r="D33" s="141"/>
      <c r="E33" s="142"/>
      <c r="F33" s="143">
        <v>293591.56</v>
      </c>
      <c r="G33" s="143">
        <v>377490.54</v>
      </c>
      <c r="H33" s="144">
        <f t="shared" si="4"/>
        <v>-83898.979999999981</v>
      </c>
      <c r="I33" s="145">
        <f t="shared" si="5"/>
        <v>-0.22225452325242373</v>
      </c>
      <c r="J33" s="146"/>
      <c r="K33" s="143">
        <v>617654.61</v>
      </c>
      <c r="L33" s="143">
        <v>797517.75</v>
      </c>
      <c r="M33" s="144"/>
      <c r="N33" s="145"/>
      <c r="O33" s="147"/>
      <c r="P33" s="146"/>
      <c r="Q33" s="143">
        <v>954934.34</v>
      </c>
      <c r="R33" s="143">
        <v>1128731.4100000001</v>
      </c>
      <c r="S33" s="144"/>
      <c r="T33" s="145"/>
      <c r="U33" s="146"/>
      <c r="V33" s="143">
        <v>2693583.4899999998</v>
      </c>
      <c r="W33" s="143">
        <v>5579448.4299999997</v>
      </c>
      <c r="X33" s="144">
        <f t="shared" si="6"/>
        <v>-2885864.94</v>
      </c>
      <c r="Y33" s="145">
        <f t="shared" si="7"/>
        <v>-0.51723122387565468</v>
      </c>
      <c r="Z33" s="148"/>
      <c r="AA33" s="149">
        <v>331213.66000000003</v>
      </c>
      <c r="AB33" s="150"/>
      <c r="AC33" s="117">
        <v>420027.21</v>
      </c>
      <c r="AD33" s="117">
        <v>377490.54</v>
      </c>
      <c r="AE33" s="117">
        <v>306622.31</v>
      </c>
      <c r="AF33" s="117">
        <v>277845.68</v>
      </c>
      <c r="AG33" s="117">
        <v>-515881.87</v>
      </c>
      <c r="AH33" s="117">
        <v>283906.19</v>
      </c>
      <c r="AI33" s="117">
        <v>310502</v>
      </c>
      <c r="AJ33" s="117">
        <v>309601.65000000002</v>
      </c>
      <c r="AK33" s="117">
        <v>286449.34000000003</v>
      </c>
      <c r="AL33" s="117">
        <v>213045.03</v>
      </c>
      <c r="AM33" s="117">
        <v>266558.82</v>
      </c>
      <c r="AN33" s="117">
        <v>337279.73</v>
      </c>
      <c r="AO33" s="150"/>
      <c r="AP33" s="117">
        <v>324063.05</v>
      </c>
      <c r="AQ33" s="117">
        <v>293591.56</v>
      </c>
      <c r="AR33" s="117">
        <v>0</v>
      </c>
      <c r="AS33" s="117">
        <v>0</v>
      </c>
      <c r="AT33" s="117">
        <v>0</v>
      </c>
      <c r="AU33" s="117">
        <v>0</v>
      </c>
      <c r="AV33" s="117">
        <v>0</v>
      </c>
      <c r="AW33" s="117">
        <v>0</v>
      </c>
      <c r="AX33" s="117">
        <v>0</v>
      </c>
      <c r="AY33" s="117">
        <v>0</v>
      </c>
      <c r="AZ33" s="117">
        <v>0</v>
      </c>
      <c r="BA33" s="117">
        <v>0</v>
      </c>
    </row>
    <row r="34" spans="1:53" s="138" customFormat="1" outlineLevel="2" x14ac:dyDescent="0.25">
      <c r="A34" s="138" t="s">
        <v>229</v>
      </c>
      <c r="B34" s="139" t="s">
        <v>230</v>
      </c>
      <c r="C34" s="140" t="s">
        <v>231</v>
      </c>
      <c r="D34" s="141"/>
      <c r="E34" s="142"/>
      <c r="F34" s="143">
        <v>0</v>
      </c>
      <c r="G34" s="143">
        <v>0</v>
      </c>
      <c r="H34" s="144">
        <f t="shared" si="4"/>
        <v>0</v>
      </c>
      <c r="I34" s="145">
        <f t="shared" si="5"/>
        <v>0</v>
      </c>
      <c r="J34" s="146"/>
      <c r="K34" s="143">
        <v>0</v>
      </c>
      <c r="L34" s="143">
        <v>0</v>
      </c>
      <c r="M34" s="144"/>
      <c r="N34" s="145"/>
      <c r="O34" s="147"/>
      <c r="P34" s="146"/>
      <c r="Q34" s="143">
        <v>0</v>
      </c>
      <c r="R34" s="143">
        <v>0</v>
      </c>
      <c r="S34" s="144"/>
      <c r="T34" s="145"/>
      <c r="U34" s="146"/>
      <c r="V34" s="143">
        <v>9.84</v>
      </c>
      <c r="W34" s="143">
        <v>0</v>
      </c>
      <c r="X34" s="144">
        <f t="shared" si="6"/>
        <v>9.84</v>
      </c>
      <c r="Y34" s="145" t="str">
        <f t="shared" si="7"/>
        <v>N.M.</v>
      </c>
      <c r="Z34" s="148"/>
      <c r="AA34" s="149">
        <v>0</v>
      </c>
      <c r="AB34" s="150"/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9.84</v>
      </c>
      <c r="AN34" s="117">
        <v>0</v>
      </c>
      <c r="AO34" s="150"/>
      <c r="AP34" s="117">
        <v>0</v>
      </c>
      <c r="AQ34" s="117">
        <v>0</v>
      </c>
      <c r="AR34" s="117">
        <v>0</v>
      </c>
      <c r="AS34" s="117">
        <v>0</v>
      </c>
      <c r="AT34" s="117">
        <v>0</v>
      </c>
      <c r="AU34" s="117">
        <v>0</v>
      </c>
      <c r="AV34" s="117">
        <v>0</v>
      </c>
      <c r="AW34" s="117">
        <v>0</v>
      </c>
      <c r="AX34" s="117">
        <v>0</v>
      </c>
      <c r="AY34" s="117">
        <v>0</v>
      </c>
      <c r="AZ34" s="117">
        <v>0</v>
      </c>
      <c r="BA34" s="117">
        <v>0</v>
      </c>
    </row>
    <row r="35" spans="1:53" s="138" customFormat="1" outlineLevel="2" x14ac:dyDescent="0.25">
      <c r="A35" s="138" t="s">
        <v>232</v>
      </c>
      <c r="B35" s="139" t="s">
        <v>233</v>
      </c>
      <c r="C35" s="140" t="s">
        <v>234</v>
      </c>
      <c r="D35" s="141"/>
      <c r="E35" s="142"/>
      <c r="F35" s="143">
        <v>0</v>
      </c>
      <c r="G35" s="143">
        <v>0</v>
      </c>
      <c r="H35" s="144">
        <f t="shared" si="4"/>
        <v>0</v>
      </c>
      <c r="I35" s="145">
        <f t="shared" si="5"/>
        <v>0</v>
      </c>
      <c r="J35" s="146"/>
      <c r="K35" s="143">
        <v>0</v>
      </c>
      <c r="L35" s="143">
        <v>0</v>
      </c>
      <c r="M35" s="144"/>
      <c r="N35" s="145"/>
      <c r="O35" s="147"/>
      <c r="P35" s="146"/>
      <c r="Q35" s="143">
        <v>0</v>
      </c>
      <c r="R35" s="143">
        <v>0</v>
      </c>
      <c r="S35" s="144"/>
      <c r="T35" s="145"/>
      <c r="U35" s="146"/>
      <c r="V35" s="143">
        <v>0</v>
      </c>
      <c r="W35" s="143">
        <v>0</v>
      </c>
      <c r="X35" s="144">
        <f t="shared" si="6"/>
        <v>0</v>
      </c>
      <c r="Y35" s="145">
        <f t="shared" si="7"/>
        <v>0</v>
      </c>
      <c r="Z35" s="148"/>
      <c r="AA35" s="149">
        <v>0</v>
      </c>
      <c r="AB35" s="150"/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50"/>
      <c r="AP35" s="117">
        <v>0</v>
      </c>
      <c r="AQ35" s="117">
        <v>0</v>
      </c>
      <c r="AR35" s="117">
        <v>63189332.890000001</v>
      </c>
      <c r="AS35" s="117">
        <v>0</v>
      </c>
      <c r="AT35" s="117">
        <v>0</v>
      </c>
      <c r="AU35" s="117">
        <v>0</v>
      </c>
      <c r="AV35" s="117">
        <v>0</v>
      </c>
      <c r="AW35" s="117">
        <v>0</v>
      </c>
      <c r="AX35" s="117">
        <v>0</v>
      </c>
      <c r="AY35" s="117">
        <v>0</v>
      </c>
      <c r="AZ35" s="117">
        <v>0</v>
      </c>
      <c r="BA35" s="117">
        <v>0</v>
      </c>
    </row>
    <row r="36" spans="1:53" s="138" customFormat="1" outlineLevel="2" x14ac:dyDescent="0.25">
      <c r="A36" s="138" t="s">
        <v>235</v>
      </c>
      <c r="B36" s="139" t="s">
        <v>236</v>
      </c>
      <c r="C36" s="140" t="s">
        <v>237</v>
      </c>
      <c r="D36" s="141"/>
      <c r="E36" s="142"/>
      <c r="F36" s="143">
        <v>0</v>
      </c>
      <c r="G36" s="143">
        <v>-179.12</v>
      </c>
      <c r="H36" s="144">
        <f t="shared" si="4"/>
        <v>179.12</v>
      </c>
      <c r="I36" s="145" t="str">
        <f t="shared" si="5"/>
        <v>N.M.</v>
      </c>
      <c r="J36" s="146"/>
      <c r="K36" s="143">
        <v>0</v>
      </c>
      <c r="L36" s="143">
        <v>-385.54</v>
      </c>
      <c r="M36" s="144"/>
      <c r="N36" s="145"/>
      <c r="O36" s="147"/>
      <c r="P36" s="146"/>
      <c r="Q36" s="143">
        <v>0</v>
      </c>
      <c r="R36" s="143">
        <v>-575.51</v>
      </c>
      <c r="S36" s="144"/>
      <c r="T36" s="145"/>
      <c r="U36" s="146"/>
      <c r="V36" s="143">
        <v>-12279.77</v>
      </c>
      <c r="W36" s="143">
        <v>-571.12</v>
      </c>
      <c r="X36" s="144">
        <f t="shared" si="6"/>
        <v>-11708.65</v>
      </c>
      <c r="Y36" s="145" t="str">
        <f t="shared" si="7"/>
        <v>N.M.</v>
      </c>
      <c r="Z36" s="148"/>
      <c r="AA36" s="149">
        <v>-189.97</v>
      </c>
      <c r="AB36" s="150"/>
      <c r="AC36" s="117">
        <v>-206.42000000000002</v>
      </c>
      <c r="AD36" s="117">
        <v>-179.12</v>
      </c>
      <c r="AE36" s="117">
        <v>-190.81</v>
      </c>
      <c r="AF36" s="117">
        <v>-189.98</v>
      </c>
      <c r="AG36" s="117">
        <v>-189.99</v>
      </c>
      <c r="AH36" s="117">
        <v>-6750.1100000000006</v>
      </c>
      <c r="AI36" s="117">
        <v>-4198.95</v>
      </c>
      <c r="AJ36" s="117">
        <v>-189.98</v>
      </c>
      <c r="AK36" s="117">
        <v>-189.98</v>
      </c>
      <c r="AL36" s="117">
        <v>-189.99</v>
      </c>
      <c r="AM36" s="117">
        <v>-189.98</v>
      </c>
      <c r="AN36" s="117">
        <v>0</v>
      </c>
      <c r="AO36" s="150"/>
      <c r="AP36" s="117">
        <v>0</v>
      </c>
      <c r="AQ36" s="117">
        <v>0</v>
      </c>
      <c r="AR36" s="117">
        <v>0</v>
      </c>
      <c r="AS36" s="117">
        <v>0</v>
      </c>
      <c r="AT36" s="117">
        <v>0</v>
      </c>
      <c r="AU36" s="117">
        <v>0</v>
      </c>
      <c r="AV36" s="117">
        <v>0</v>
      </c>
      <c r="AW36" s="117">
        <v>0</v>
      </c>
      <c r="AX36" s="117">
        <v>0</v>
      </c>
      <c r="AY36" s="117">
        <v>0</v>
      </c>
      <c r="AZ36" s="117">
        <v>0</v>
      </c>
      <c r="BA36" s="117">
        <v>0</v>
      </c>
    </row>
    <row r="37" spans="1:53" s="138" customFormat="1" outlineLevel="2" x14ac:dyDescent="0.25">
      <c r="A37" s="138" t="s">
        <v>238</v>
      </c>
      <c r="B37" s="139" t="s">
        <v>239</v>
      </c>
      <c r="C37" s="140" t="s">
        <v>240</v>
      </c>
      <c r="D37" s="141"/>
      <c r="E37" s="142"/>
      <c r="F37" s="143">
        <v>-253205.42</v>
      </c>
      <c r="G37" s="143">
        <v>-483512.46</v>
      </c>
      <c r="H37" s="144">
        <f t="shared" si="4"/>
        <v>230307.04</v>
      </c>
      <c r="I37" s="145">
        <f t="shared" si="5"/>
        <v>0.47632079636582686</v>
      </c>
      <c r="J37" s="146"/>
      <c r="K37" s="143">
        <v>-506892.9</v>
      </c>
      <c r="L37" s="143">
        <v>-957381.21</v>
      </c>
      <c r="M37" s="144"/>
      <c r="N37" s="145"/>
      <c r="O37" s="147"/>
      <c r="P37" s="146"/>
      <c r="Q37" s="143">
        <v>-596311.17000000004</v>
      </c>
      <c r="R37" s="143">
        <v>-1502464.24</v>
      </c>
      <c r="S37" s="144"/>
      <c r="T37" s="145"/>
      <c r="U37" s="146"/>
      <c r="V37" s="143">
        <v>-2037430.0299999998</v>
      </c>
      <c r="W37" s="143">
        <v>-3863966.5789999999</v>
      </c>
      <c r="X37" s="144">
        <f t="shared" si="6"/>
        <v>1826536.5490000001</v>
      </c>
      <c r="Y37" s="145">
        <f t="shared" si="7"/>
        <v>0.47271023484698732</v>
      </c>
      <c r="Z37" s="148"/>
      <c r="AA37" s="149">
        <v>-545083.03</v>
      </c>
      <c r="AB37" s="150"/>
      <c r="AC37" s="117">
        <v>-473868.75</v>
      </c>
      <c r="AD37" s="117">
        <v>-483512.46</v>
      </c>
      <c r="AE37" s="117">
        <v>-395635.36</v>
      </c>
      <c r="AF37" s="117">
        <v>-208446.52000000002</v>
      </c>
      <c r="AG37" s="117">
        <v>-330723.75</v>
      </c>
      <c r="AH37" s="117">
        <v>-152119.39000000001</v>
      </c>
      <c r="AI37" s="117">
        <v>-44654.21</v>
      </c>
      <c r="AJ37" s="117">
        <v>-68509.350000000006</v>
      </c>
      <c r="AK37" s="117">
        <v>-34138.79</v>
      </c>
      <c r="AL37" s="117">
        <v>-56964.58</v>
      </c>
      <c r="AM37" s="117">
        <v>-149926.91</v>
      </c>
      <c r="AN37" s="117">
        <v>-89418.27</v>
      </c>
      <c r="AO37" s="150"/>
      <c r="AP37" s="117">
        <v>-253687.48</v>
      </c>
      <c r="AQ37" s="117">
        <v>-253205.42</v>
      </c>
      <c r="AR37" s="117">
        <v>0</v>
      </c>
      <c r="AS37" s="117">
        <v>0</v>
      </c>
      <c r="AT37" s="117">
        <v>0</v>
      </c>
      <c r="AU37" s="117">
        <v>0</v>
      </c>
      <c r="AV37" s="117">
        <v>0</v>
      </c>
      <c r="AW37" s="117">
        <v>0</v>
      </c>
      <c r="AX37" s="117">
        <v>0</v>
      </c>
      <c r="AY37" s="117">
        <v>0</v>
      </c>
      <c r="AZ37" s="117">
        <v>0</v>
      </c>
      <c r="BA37" s="117">
        <v>0</v>
      </c>
    </row>
    <row r="38" spans="1:53" s="138" customFormat="1" outlineLevel="2" x14ac:dyDescent="0.25">
      <c r="A38" s="138" t="s">
        <v>241</v>
      </c>
      <c r="B38" s="139" t="s">
        <v>242</v>
      </c>
      <c r="C38" s="140" t="s">
        <v>243</v>
      </c>
      <c r="D38" s="141"/>
      <c r="E38" s="142"/>
      <c r="F38" s="143">
        <v>24666.23</v>
      </c>
      <c r="G38" s="143">
        <v>4851.51</v>
      </c>
      <c r="H38" s="144">
        <f t="shared" si="4"/>
        <v>19814.72</v>
      </c>
      <c r="I38" s="145">
        <f t="shared" si="5"/>
        <v>4.0842376909457059</v>
      </c>
      <c r="J38" s="146"/>
      <c r="K38" s="143">
        <v>192439.86000000002</v>
      </c>
      <c r="L38" s="143">
        <v>-48562.51</v>
      </c>
      <c r="M38" s="144"/>
      <c r="N38" s="145"/>
      <c r="O38" s="147"/>
      <c r="P38" s="146"/>
      <c r="Q38" s="143">
        <v>1455008.8800000001</v>
      </c>
      <c r="R38" s="143">
        <v>-100951.18</v>
      </c>
      <c r="S38" s="144"/>
      <c r="T38" s="145"/>
      <c r="U38" s="146"/>
      <c r="V38" s="143">
        <v>7808092.1800000006</v>
      </c>
      <c r="W38" s="143">
        <v>11948926.310000001</v>
      </c>
      <c r="X38" s="144">
        <f t="shared" si="6"/>
        <v>-4140834.13</v>
      </c>
      <c r="Y38" s="145">
        <f t="shared" si="7"/>
        <v>-0.34654445282958646</v>
      </c>
      <c r="Z38" s="148"/>
      <c r="AA38" s="149">
        <v>-52388.67</v>
      </c>
      <c r="AB38" s="150"/>
      <c r="AC38" s="117">
        <v>-53414.020000000004</v>
      </c>
      <c r="AD38" s="117">
        <v>4851.51</v>
      </c>
      <c r="AE38" s="117">
        <v>-71657.55</v>
      </c>
      <c r="AF38" s="117">
        <v>11839.15</v>
      </c>
      <c r="AG38" s="117">
        <v>23979.61</v>
      </c>
      <c r="AH38" s="117">
        <v>803197.94000000006</v>
      </c>
      <c r="AI38" s="117">
        <v>2479820.0699999998</v>
      </c>
      <c r="AJ38" s="117">
        <v>1207153.24</v>
      </c>
      <c r="AK38" s="117">
        <v>381847.96</v>
      </c>
      <c r="AL38" s="117">
        <v>310838.24</v>
      </c>
      <c r="AM38" s="117">
        <v>1206064.6400000001</v>
      </c>
      <c r="AN38" s="117">
        <v>1262569.02</v>
      </c>
      <c r="AO38" s="150"/>
      <c r="AP38" s="117">
        <v>167773.63</v>
      </c>
      <c r="AQ38" s="117">
        <v>24666.23</v>
      </c>
      <c r="AR38" s="117">
        <v>-25678.9</v>
      </c>
      <c r="AS38" s="117">
        <v>0</v>
      </c>
      <c r="AT38" s="117">
        <v>0</v>
      </c>
      <c r="AU38" s="117">
        <v>0</v>
      </c>
      <c r="AV38" s="117">
        <v>0</v>
      </c>
      <c r="AW38" s="117">
        <v>0</v>
      </c>
      <c r="AX38" s="117">
        <v>0</v>
      </c>
      <c r="AY38" s="117">
        <v>0</v>
      </c>
      <c r="AZ38" s="117">
        <v>0</v>
      </c>
      <c r="BA38" s="117">
        <v>0</v>
      </c>
    </row>
    <row r="39" spans="1:53" s="138" customFormat="1" outlineLevel="2" x14ac:dyDescent="0.25">
      <c r="A39" s="138" t="s">
        <v>244</v>
      </c>
      <c r="B39" s="139" t="s">
        <v>245</v>
      </c>
      <c r="C39" s="140" t="s">
        <v>246</v>
      </c>
      <c r="D39" s="141"/>
      <c r="E39" s="142"/>
      <c r="F39" s="143">
        <v>-1277.26</v>
      </c>
      <c r="G39" s="143">
        <v>-4899.53</v>
      </c>
      <c r="H39" s="144">
        <f t="shared" si="4"/>
        <v>3622.2699999999995</v>
      </c>
      <c r="I39" s="145">
        <f t="shared" si="5"/>
        <v>0.739309688888526</v>
      </c>
      <c r="J39" s="146"/>
      <c r="K39" s="143">
        <v>-15088.41</v>
      </c>
      <c r="L39" s="143">
        <v>-7255.08</v>
      </c>
      <c r="M39" s="144"/>
      <c r="N39" s="145"/>
      <c r="O39" s="147"/>
      <c r="P39" s="146"/>
      <c r="Q39" s="143">
        <v>-32110.799999999999</v>
      </c>
      <c r="R39" s="143">
        <v>-9618.9599999999991</v>
      </c>
      <c r="S39" s="144"/>
      <c r="T39" s="145"/>
      <c r="U39" s="146"/>
      <c r="V39" s="143">
        <v>-107528.67</v>
      </c>
      <c r="W39" s="143">
        <v>-205632.94999999998</v>
      </c>
      <c r="X39" s="144">
        <f t="shared" si="6"/>
        <v>98104.279999999984</v>
      </c>
      <c r="Y39" s="145">
        <f t="shared" si="7"/>
        <v>0.47708443612757584</v>
      </c>
      <c r="Z39" s="148"/>
      <c r="AA39" s="149">
        <v>-2363.88</v>
      </c>
      <c r="AB39" s="150"/>
      <c r="AC39" s="117">
        <v>-2355.5500000000002</v>
      </c>
      <c r="AD39" s="117">
        <v>-4899.53</v>
      </c>
      <c r="AE39" s="117">
        <v>-4894.88</v>
      </c>
      <c r="AF39" s="117">
        <v>-2749.82</v>
      </c>
      <c r="AG39" s="117">
        <v>-4110.4800000000005</v>
      </c>
      <c r="AH39" s="117">
        <v>-9574.4699999999993</v>
      </c>
      <c r="AI39" s="117">
        <v>-18794.57</v>
      </c>
      <c r="AJ39" s="117">
        <v>-2501.36</v>
      </c>
      <c r="AK39" s="117">
        <v>-6689.78</v>
      </c>
      <c r="AL39" s="117">
        <v>9379.41</v>
      </c>
      <c r="AM39" s="117">
        <v>-35481.919999999998</v>
      </c>
      <c r="AN39" s="117">
        <v>-17022.39</v>
      </c>
      <c r="AO39" s="150"/>
      <c r="AP39" s="117">
        <v>-13811.15</v>
      </c>
      <c r="AQ39" s="117">
        <v>-1277.26</v>
      </c>
      <c r="AR39" s="117">
        <v>157.26</v>
      </c>
      <c r="AS39" s="117">
        <v>0</v>
      </c>
      <c r="AT39" s="117">
        <v>0</v>
      </c>
      <c r="AU39" s="117">
        <v>0</v>
      </c>
      <c r="AV39" s="117">
        <v>0</v>
      </c>
      <c r="AW39" s="117">
        <v>0</v>
      </c>
      <c r="AX39" s="117">
        <v>0</v>
      </c>
      <c r="AY39" s="117">
        <v>0</v>
      </c>
      <c r="AZ39" s="117">
        <v>0</v>
      </c>
      <c r="BA39" s="117">
        <v>0</v>
      </c>
    </row>
    <row r="40" spans="1:53" s="138" customFormat="1" outlineLevel="2" x14ac:dyDescent="0.25">
      <c r="A40" s="138" t="s">
        <v>247</v>
      </c>
      <c r="B40" s="139" t="s">
        <v>248</v>
      </c>
      <c r="C40" s="140" t="s">
        <v>249</v>
      </c>
      <c r="D40" s="141"/>
      <c r="E40" s="142"/>
      <c r="F40" s="143">
        <v>219097.24</v>
      </c>
      <c r="G40" s="143">
        <v>87683.56</v>
      </c>
      <c r="H40" s="144">
        <f t="shared" si="4"/>
        <v>131413.68</v>
      </c>
      <c r="I40" s="145">
        <f t="shared" si="5"/>
        <v>1.4987265571790196</v>
      </c>
      <c r="J40" s="146"/>
      <c r="K40" s="143">
        <v>461299.17</v>
      </c>
      <c r="L40" s="143">
        <v>181207.59</v>
      </c>
      <c r="M40" s="144"/>
      <c r="N40" s="145"/>
      <c r="O40" s="147"/>
      <c r="P40" s="146"/>
      <c r="Q40" s="143">
        <v>703535.28</v>
      </c>
      <c r="R40" s="143">
        <v>274731.62</v>
      </c>
      <c r="S40" s="144"/>
      <c r="T40" s="145"/>
      <c r="U40" s="146"/>
      <c r="V40" s="143">
        <v>2448730.31</v>
      </c>
      <c r="W40" s="143">
        <v>1001917.7999999999</v>
      </c>
      <c r="X40" s="144">
        <f t="shared" si="6"/>
        <v>1446812.5100000002</v>
      </c>
      <c r="Y40" s="145">
        <f t="shared" si="7"/>
        <v>1.4440431240966078</v>
      </c>
      <c r="Z40" s="148"/>
      <c r="AA40" s="149">
        <v>93524.03</v>
      </c>
      <c r="AB40" s="150"/>
      <c r="AC40" s="117">
        <v>93524.03</v>
      </c>
      <c r="AD40" s="117">
        <v>87683.56</v>
      </c>
      <c r="AE40" s="117">
        <v>93573.69</v>
      </c>
      <c r="AF40" s="117">
        <v>90603.790000000008</v>
      </c>
      <c r="AG40" s="117">
        <v>93524.03</v>
      </c>
      <c r="AH40" s="117">
        <v>213707.4</v>
      </c>
      <c r="AI40" s="117">
        <v>213437.4</v>
      </c>
      <c r="AJ40" s="117">
        <v>227998.82</v>
      </c>
      <c r="AK40" s="117">
        <v>251118.96</v>
      </c>
      <c r="AL40" s="117">
        <v>220689.56</v>
      </c>
      <c r="AM40" s="117">
        <v>340541.38</v>
      </c>
      <c r="AN40" s="117">
        <v>242236.11000000002</v>
      </c>
      <c r="AO40" s="150"/>
      <c r="AP40" s="117">
        <v>242201.93</v>
      </c>
      <c r="AQ40" s="117">
        <v>219097.24</v>
      </c>
      <c r="AR40" s="117">
        <v>0</v>
      </c>
      <c r="AS40" s="117">
        <v>0</v>
      </c>
      <c r="AT40" s="117">
        <v>0</v>
      </c>
      <c r="AU40" s="117">
        <v>0</v>
      </c>
      <c r="AV40" s="117">
        <v>0</v>
      </c>
      <c r="AW40" s="117">
        <v>0</v>
      </c>
      <c r="AX40" s="117">
        <v>0</v>
      </c>
      <c r="AY40" s="117">
        <v>0</v>
      </c>
      <c r="AZ40" s="117">
        <v>0</v>
      </c>
      <c r="BA40" s="117">
        <v>0</v>
      </c>
    </row>
    <row r="41" spans="1:53" s="138" customFormat="1" outlineLevel="2" x14ac:dyDescent="0.25">
      <c r="A41" s="138" t="s">
        <v>250</v>
      </c>
      <c r="B41" s="139" t="s">
        <v>251</v>
      </c>
      <c r="C41" s="140" t="s">
        <v>252</v>
      </c>
      <c r="D41" s="141"/>
      <c r="E41" s="142"/>
      <c r="F41" s="143">
        <v>2408.5</v>
      </c>
      <c r="G41" s="143">
        <v>10416.16</v>
      </c>
      <c r="H41" s="144">
        <f t="shared" si="4"/>
        <v>-8007.66</v>
      </c>
      <c r="I41" s="145">
        <f t="shared" si="5"/>
        <v>-0.76877275310671112</v>
      </c>
      <c r="J41" s="146"/>
      <c r="K41" s="143">
        <v>43460.54</v>
      </c>
      <c r="L41" s="143">
        <v>19279.34</v>
      </c>
      <c r="M41" s="144"/>
      <c r="N41" s="145"/>
      <c r="O41" s="147"/>
      <c r="P41" s="146"/>
      <c r="Q41" s="143">
        <v>69406.91</v>
      </c>
      <c r="R41" s="143">
        <v>19838.07</v>
      </c>
      <c r="S41" s="144"/>
      <c r="T41" s="145"/>
      <c r="U41" s="146"/>
      <c r="V41" s="143">
        <v>213513.09000000003</v>
      </c>
      <c r="W41" s="143">
        <v>281545.10000000003</v>
      </c>
      <c r="X41" s="144">
        <f t="shared" si="6"/>
        <v>-68032.010000000009</v>
      </c>
      <c r="Y41" s="145">
        <f t="shared" si="7"/>
        <v>-0.2416380537256731</v>
      </c>
      <c r="Z41" s="148"/>
      <c r="AA41" s="149">
        <v>558.73</v>
      </c>
      <c r="AB41" s="150"/>
      <c r="AC41" s="117">
        <v>8863.18</v>
      </c>
      <c r="AD41" s="117">
        <v>10416.16</v>
      </c>
      <c r="AE41" s="117">
        <v>1745.29</v>
      </c>
      <c r="AF41" s="117">
        <v>7518.03</v>
      </c>
      <c r="AG41" s="117">
        <v>7446.09</v>
      </c>
      <c r="AH41" s="117">
        <v>15854.4</v>
      </c>
      <c r="AI41" s="117">
        <v>45291.520000000004</v>
      </c>
      <c r="AJ41" s="117">
        <v>19842</v>
      </c>
      <c r="AK41" s="117">
        <v>6435.89</v>
      </c>
      <c r="AL41" s="117">
        <v>8551.9699999999993</v>
      </c>
      <c r="AM41" s="117">
        <v>31420.99</v>
      </c>
      <c r="AN41" s="117">
        <v>25946.37</v>
      </c>
      <c r="AO41" s="150"/>
      <c r="AP41" s="117">
        <v>41052.04</v>
      </c>
      <c r="AQ41" s="117">
        <v>2408.5</v>
      </c>
      <c r="AR41" s="117">
        <v>0</v>
      </c>
      <c r="AS41" s="117">
        <v>0</v>
      </c>
      <c r="AT41" s="117">
        <v>0</v>
      </c>
      <c r="AU41" s="117">
        <v>0</v>
      </c>
      <c r="AV41" s="117">
        <v>0</v>
      </c>
      <c r="AW41" s="117">
        <v>0</v>
      </c>
      <c r="AX41" s="117">
        <v>0</v>
      </c>
      <c r="AY41" s="117">
        <v>0</v>
      </c>
      <c r="AZ41" s="117">
        <v>0</v>
      </c>
      <c r="BA41" s="117">
        <v>0</v>
      </c>
    </row>
    <row r="42" spans="1:53" s="138" customFormat="1" outlineLevel="2" x14ac:dyDescent="0.25">
      <c r="A42" s="138" t="s">
        <v>253</v>
      </c>
      <c r="B42" s="139" t="s">
        <v>254</v>
      </c>
      <c r="C42" s="140" t="s">
        <v>255</v>
      </c>
      <c r="D42" s="141"/>
      <c r="E42" s="142"/>
      <c r="F42" s="143">
        <v>702376.22</v>
      </c>
      <c r="G42" s="143">
        <v>812231.43</v>
      </c>
      <c r="H42" s="144">
        <f t="shared" si="4"/>
        <v>-109855.21000000008</v>
      </c>
      <c r="I42" s="145">
        <f t="shared" si="5"/>
        <v>-0.13525111925304353</v>
      </c>
      <c r="J42" s="146"/>
      <c r="K42" s="143">
        <v>2401981.92</v>
      </c>
      <c r="L42" s="143">
        <v>1428032.26</v>
      </c>
      <c r="M42" s="144"/>
      <c r="N42" s="145"/>
      <c r="O42" s="147"/>
      <c r="P42" s="146"/>
      <c r="Q42" s="143">
        <v>6342723.1899999995</v>
      </c>
      <c r="R42" s="143">
        <v>1858233.63</v>
      </c>
      <c r="S42" s="144"/>
      <c r="T42" s="145"/>
      <c r="U42" s="146"/>
      <c r="V42" s="143">
        <v>35284276.710000001</v>
      </c>
      <c r="W42" s="143">
        <v>39669723.559999995</v>
      </c>
      <c r="X42" s="144">
        <f t="shared" si="6"/>
        <v>-4385446.849999994</v>
      </c>
      <c r="Y42" s="145">
        <f t="shared" si="7"/>
        <v>-0.11054896420861257</v>
      </c>
      <c r="Z42" s="148"/>
      <c r="AA42" s="149">
        <v>430201.37</v>
      </c>
      <c r="AB42" s="150"/>
      <c r="AC42" s="117">
        <v>615800.82999999996</v>
      </c>
      <c r="AD42" s="117">
        <v>812231.43</v>
      </c>
      <c r="AE42" s="117">
        <v>942744.66</v>
      </c>
      <c r="AF42" s="117">
        <v>709843.12</v>
      </c>
      <c r="AG42" s="117">
        <v>1194158.05</v>
      </c>
      <c r="AH42" s="117">
        <v>4112091.8</v>
      </c>
      <c r="AI42" s="117">
        <v>5812006.6399999997</v>
      </c>
      <c r="AJ42" s="117">
        <v>6031808.9699999997</v>
      </c>
      <c r="AK42" s="117">
        <v>1187277.27</v>
      </c>
      <c r="AL42" s="117">
        <v>2030189.06</v>
      </c>
      <c r="AM42" s="117">
        <v>6921433.9500000002</v>
      </c>
      <c r="AN42" s="117">
        <v>3940741.27</v>
      </c>
      <c r="AO42" s="150"/>
      <c r="AP42" s="117">
        <v>1699605.7000000002</v>
      </c>
      <c r="AQ42" s="117">
        <v>702376.22</v>
      </c>
      <c r="AR42" s="117">
        <v>-701363.75</v>
      </c>
      <c r="AS42" s="117">
        <v>0</v>
      </c>
      <c r="AT42" s="117">
        <v>0</v>
      </c>
      <c r="AU42" s="117">
        <v>0</v>
      </c>
      <c r="AV42" s="117">
        <v>0</v>
      </c>
      <c r="AW42" s="117">
        <v>0</v>
      </c>
      <c r="AX42" s="117">
        <v>0</v>
      </c>
      <c r="AY42" s="117">
        <v>0</v>
      </c>
      <c r="AZ42" s="117">
        <v>0</v>
      </c>
      <c r="BA42" s="117">
        <v>0</v>
      </c>
    </row>
    <row r="43" spans="1:53" s="138" customFormat="1" outlineLevel="2" x14ac:dyDescent="0.25">
      <c r="A43" s="138" t="s">
        <v>256</v>
      </c>
      <c r="B43" s="139" t="s">
        <v>257</v>
      </c>
      <c r="C43" s="140" t="s">
        <v>258</v>
      </c>
      <c r="D43" s="141"/>
      <c r="E43" s="142"/>
      <c r="F43" s="143">
        <v>-0.03</v>
      </c>
      <c r="G43" s="143">
        <v>-1634.6200000000001</v>
      </c>
      <c r="H43" s="144">
        <f t="shared" si="4"/>
        <v>1634.5900000000001</v>
      </c>
      <c r="I43" s="145">
        <f t="shared" si="5"/>
        <v>0.99998164711064352</v>
      </c>
      <c r="J43" s="146"/>
      <c r="K43" s="143">
        <v>-0.05</v>
      </c>
      <c r="L43" s="143">
        <v>-3299.85</v>
      </c>
      <c r="M43" s="144"/>
      <c r="N43" s="145"/>
      <c r="O43" s="147"/>
      <c r="P43" s="146"/>
      <c r="Q43" s="143">
        <v>-7.0000000000000007E-2</v>
      </c>
      <c r="R43" s="143">
        <v>-4886.2</v>
      </c>
      <c r="S43" s="144"/>
      <c r="T43" s="145"/>
      <c r="U43" s="146"/>
      <c r="V43" s="143">
        <v>44816.65</v>
      </c>
      <c r="W43" s="143">
        <v>-19410.18</v>
      </c>
      <c r="X43" s="144">
        <f t="shared" si="6"/>
        <v>64226.83</v>
      </c>
      <c r="Y43" s="145">
        <f t="shared" si="7"/>
        <v>3.3089250073930279</v>
      </c>
      <c r="Z43" s="148"/>
      <c r="AA43" s="149">
        <v>-1586.3500000000001</v>
      </c>
      <c r="AB43" s="150"/>
      <c r="AC43" s="117">
        <v>-1665.23</v>
      </c>
      <c r="AD43" s="117">
        <v>-1634.6200000000001</v>
      </c>
      <c r="AE43" s="117">
        <v>-1760.89</v>
      </c>
      <c r="AF43" s="117">
        <v>-1663.33</v>
      </c>
      <c r="AG43" s="117">
        <v>-1553.89</v>
      </c>
      <c r="AH43" s="117">
        <v>-1506.59</v>
      </c>
      <c r="AI43" s="117">
        <v>-1445.97</v>
      </c>
      <c r="AJ43" s="117">
        <v>-1357.54</v>
      </c>
      <c r="AK43" s="117">
        <v>-1273.78</v>
      </c>
      <c r="AL43" s="117">
        <v>55378.73</v>
      </c>
      <c r="AM43" s="117">
        <v>-0.02</v>
      </c>
      <c r="AN43" s="117">
        <v>-0.02</v>
      </c>
      <c r="AO43" s="150"/>
      <c r="AP43" s="117">
        <v>-0.02</v>
      </c>
      <c r="AQ43" s="117">
        <v>-0.03</v>
      </c>
      <c r="AR43" s="117">
        <v>0</v>
      </c>
      <c r="AS43" s="117">
        <v>0</v>
      </c>
      <c r="AT43" s="117">
        <v>0</v>
      </c>
      <c r="AU43" s="117">
        <v>0</v>
      </c>
      <c r="AV43" s="117">
        <v>0</v>
      </c>
      <c r="AW43" s="117">
        <v>0</v>
      </c>
      <c r="AX43" s="117">
        <v>0</v>
      </c>
      <c r="AY43" s="117">
        <v>0</v>
      </c>
      <c r="AZ43" s="117">
        <v>0</v>
      </c>
      <c r="BA43" s="117">
        <v>0</v>
      </c>
    </row>
    <row r="44" spans="1:53" s="138" customFormat="1" outlineLevel="2" x14ac:dyDescent="0.25">
      <c r="A44" s="138" t="s">
        <v>259</v>
      </c>
      <c r="B44" s="139" t="s">
        <v>260</v>
      </c>
      <c r="C44" s="140" t="s">
        <v>261</v>
      </c>
      <c r="D44" s="141"/>
      <c r="E44" s="142"/>
      <c r="F44" s="143">
        <v>0</v>
      </c>
      <c r="G44" s="143">
        <v>0</v>
      </c>
      <c r="H44" s="144">
        <f t="shared" si="4"/>
        <v>0</v>
      </c>
      <c r="I44" s="145">
        <f t="shared" si="5"/>
        <v>0</v>
      </c>
      <c r="J44" s="146"/>
      <c r="K44" s="143">
        <v>0</v>
      </c>
      <c r="L44" s="143">
        <v>0</v>
      </c>
      <c r="M44" s="144"/>
      <c r="N44" s="145"/>
      <c r="O44" s="147"/>
      <c r="P44" s="146"/>
      <c r="Q44" s="143">
        <v>0</v>
      </c>
      <c r="R44" s="143">
        <v>0</v>
      </c>
      <c r="S44" s="144"/>
      <c r="T44" s="145"/>
      <c r="U44" s="146"/>
      <c r="V44" s="143">
        <v>0</v>
      </c>
      <c r="W44" s="143">
        <v>1194.03</v>
      </c>
      <c r="X44" s="144">
        <f t="shared" si="6"/>
        <v>-1194.03</v>
      </c>
      <c r="Y44" s="145" t="str">
        <f t="shared" si="7"/>
        <v>N.M.</v>
      </c>
      <c r="Z44" s="148"/>
      <c r="AA44" s="149">
        <v>0</v>
      </c>
      <c r="AB44" s="150"/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50"/>
      <c r="AP44" s="117">
        <v>0</v>
      </c>
      <c r="AQ44" s="117">
        <v>0</v>
      </c>
      <c r="AR44" s="117">
        <v>0</v>
      </c>
      <c r="AS44" s="117">
        <v>0</v>
      </c>
      <c r="AT44" s="117">
        <v>0</v>
      </c>
      <c r="AU44" s="117">
        <v>0</v>
      </c>
      <c r="AV44" s="117">
        <v>0</v>
      </c>
      <c r="AW44" s="117">
        <v>0</v>
      </c>
      <c r="AX44" s="117">
        <v>0</v>
      </c>
      <c r="AY44" s="117">
        <v>0</v>
      </c>
      <c r="AZ44" s="117">
        <v>0</v>
      </c>
      <c r="BA44" s="117">
        <v>0</v>
      </c>
    </row>
    <row r="45" spans="1:53" s="138" customFormat="1" outlineLevel="2" x14ac:dyDescent="0.25">
      <c r="A45" s="138" t="s">
        <v>262</v>
      </c>
      <c r="B45" s="139" t="s">
        <v>263</v>
      </c>
      <c r="C45" s="140" t="s">
        <v>264</v>
      </c>
      <c r="D45" s="141"/>
      <c r="E45" s="142"/>
      <c r="F45" s="143">
        <v>-0.01</v>
      </c>
      <c r="G45" s="143">
        <v>-0.02</v>
      </c>
      <c r="H45" s="144">
        <f t="shared" si="4"/>
        <v>0.01</v>
      </c>
      <c r="I45" s="145">
        <f t="shared" si="5"/>
        <v>0.5</v>
      </c>
      <c r="J45" s="146"/>
      <c r="K45" s="143">
        <v>-0.02</v>
      </c>
      <c r="L45" s="143">
        <v>-0.02</v>
      </c>
      <c r="M45" s="144"/>
      <c r="N45" s="145"/>
      <c r="O45" s="147"/>
      <c r="P45" s="146"/>
      <c r="Q45" s="143">
        <v>-0.22999999999999998</v>
      </c>
      <c r="R45" s="143">
        <v>0.88</v>
      </c>
      <c r="S45" s="144"/>
      <c r="T45" s="145"/>
      <c r="U45" s="146"/>
      <c r="V45" s="143">
        <v>-0.21</v>
      </c>
      <c r="W45" s="143">
        <v>-536.43999999999994</v>
      </c>
      <c r="X45" s="144">
        <f t="shared" si="6"/>
        <v>536.2299999999999</v>
      </c>
      <c r="Y45" s="145">
        <f t="shared" si="7"/>
        <v>0.99960853031093866</v>
      </c>
      <c r="Z45" s="148"/>
      <c r="AA45" s="149">
        <v>0.9</v>
      </c>
      <c r="AB45" s="150"/>
      <c r="AC45" s="117">
        <v>0</v>
      </c>
      <c r="AD45" s="117">
        <v>-0.02</v>
      </c>
      <c r="AE45" s="117">
        <v>-0.01</v>
      </c>
      <c r="AF45" s="117">
        <v>0</v>
      </c>
      <c r="AG45" s="117">
        <v>-0.03</v>
      </c>
      <c r="AH45" s="117">
        <v>0.01</v>
      </c>
      <c r="AI45" s="117">
        <v>0.03</v>
      </c>
      <c r="AJ45" s="117">
        <v>0.04</v>
      </c>
      <c r="AK45" s="117">
        <v>0</v>
      </c>
      <c r="AL45" s="117">
        <v>-0.01</v>
      </c>
      <c r="AM45" s="117">
        <v>-0.01</v>
      </c>
      <c r="AN45" s="117">
        <v>-0.21</v>
      </c>
      <c r="AO45" s="150"/>
      <c r="AP45" s="117">
        <v>-0.01</v>
      </c>
      <c r="AQ45" s="117">
        <v>-0.01</v>
      </c>
      <c r="AR45" s="117">
        <v>0</v>
      </c>
      <c r="AS45" s="117">
        <v>0</v>
      </c>
      <c r="AT45" s="117">
        <v>0</v>
      </c>
      <c r="AU45" s="117">
        <v>0</v>
      </c>
      <c r="AV45" s="117">
        <v>0</v>
      </c>
      <c r="AW45" s="117">
        <v>0</v>
      </c>
      <c r="AX45" s="117">
        <v>0</v>
      </c>
      <c r="AY45" s="117">
        <v>0</v>
      </c>
      <c r="AZ45" s="117">
        <v>0</v>
      </c>
      <c r="BA45" s="117">
        <v>0</v>
      </c>
    </row>
    <row r="46" spans="1:53" s="138" customFormat="1" outlineLevel="2" x14ac:dyDescent="0.25">
      <c r="A46" s="138" t="s">
        <v>265</v>
      </c>
      <c r="B46" s="139" t="s">
        <v>266</v>
      </c>
      <c r="C46" s="140" t="s">
        <v>267</v>
      </c>
      <c r="D46" s="141"/>
      <c r="E46" s="142"/>
      <c r="F46" s="143">
        <v>11473.93</v>
      </c>
      <c r="G46" s="143">
        <v>-0.18</v>
      </c>
      <c r="H46" s="144">
        <f t="shared" si="4"/>
        <v>11474.11</v>
      </c>
      <c r="I46" s="145" t="str">
        <f t="shared" si="5"/>
        <v>N.M.</v>
      </c>
      <c r="J46" s="146"/>
      <c r="K46" s="143">
        <v>98493.930000000008</v>
      </c>
      <c r="L46" s="143">
        <v>44.64</v>
      </c>
      <c r="M46" s="144"/>
      <c r="N46" s="145"/>
      <c r="O46" s="147"/>
      <c r="P46" s="146"/>
      <c r="Q46" s="143">
        <v>338775.38</v>
      </c>
      <c r="R46" s="143">
        <v>-743.89</v>
      </c>
      <c r="S46" s="144"/>
      <c r="T46" s="145"/>
      <c r="U46" s="146"/>
      <c r="V46" s="143">
        <v>2983010.8200000003</v>
      </c>
      <c r="W46" s="143">
        <v>4500427.3499999996</v>
      </c>
      <c r="X46" s="144">
        <f t="shared" si="6"/>
        <v>-1517416.5299999993</v>
      </c>
      <c r="Y46" s="145">
        <f t="shared" si="7"/>
        <v>-0.33717165326532811</v>
      </c>
      <c r="Z46" s="148"/>
      <c r="AA46" s="149">
        <v>-788.53</v>
      </c>
      <c r="AB46" s="150"/>
      <c r="AC46" s="117">
        <v>44.82</v>
      </c>
      <c r="AD46" s="117">
        <v>-0.18</v>
      </c>
      <c r="AE46" s="117">
        <v>0</v>
      </c>
      <c r="AF46" s="117">
        <v>0</v>
      </c>
      <c r="AG46" s="117">
        <v>0</v>
      </c>
      <c r="AH46" s="117">
        <v>849840.36</v>
      </c>
      <c r="AI46" s="117">
        <v>758762.49</v>
      </c>
      <c r="AJ46" s="117">
        <v>295275.18</v>
      </c>
      <c r="AK46" s="117">
        <v>55154.270000000004</v>
      </c>
      <c r="AL46" s="117">
        <v>92938.32</v>
      </c>
      <c r="AM46" s="117">
        <v>592264.82000000007</v>
      </c>
      <c r="AN46" s="117">
        <v>240281.45</v>
      </c>
      <c r="AO46" s="150"/>
      <c r="AP46" s="117">
        <v>87020</v>
      </c>
      <c r="AQ46" s="117">
        <v>11473.93</v>
      </c>
      <c r="AR46" s="117">
        <v>-11374.710000000001</v>
      </c>
      <c r="AS46" s="117">
        <v>0</v>
      </c>
      <c r="AT46" s="117">
        <v>0</v>
      </c>
      <c r="AU46" s="117">
        <v>0</v>
      </c>
      <c r="AV46" s="117">
        <v>0</v>
      </c>
      <c r="AW46" s="117">
        <v>0</v>
      </c>
      <c r="AX46" s="117">
        <v>0</v>
      </c>
      <c r="AY46" s="117">
        <v>0</v>
      </c>
      <c r="AZ46" s="117">
        <v>0</v>
      </c>
      <c r="BA46" s="117">
        <v>0</v>
      </c>
    </row>
    <row r="47" spans="1:53" s="138" customFormat="1" outlineLevel="2" x14ac:dyDescent="0.25">
      <c r="A47" s="138" t="s">
        <v>268</v>
      </c>
      <c r="B47" s="139" t="s">
        <v>269</v>
      </c>
      <c r="C47" s="140" t="s">
        <v>270</v>
      </c>
      <c r="D47" s="141"/>
      <c r="E47" s="142"/>
      <c r="F47" s="143">
        <v>15062.82</v>
      </c>
      <c r="G47" s="143">
        <v>1986.6200000000001</v>
      </c>
      <c r="H47" s="144">
        <f t="shared" si="4"/>
        <v>13076.199999999999</v>
      </c>
      <c r="I47" s="145">
        <f t="shared" si="5"/>
        <v>6.5821344796689845</v>
      </c>
      <c r="J47" s="146"/>
      <c r="K47" s="143">
        <v>29397.9</v>
      </c>
      <c r="L47" s="143">
        <v>1348.99</v>
      </c>
      <c r="M47" s="144"/>
      <c r="N47" s="145"/>
      <c r="O47" s="147"/>
      <c r="P47" s="146"/>
      <c r="Q47" s="143">
        <v>55201.37</v>
      </c>
      <c r="R47" s="143">
        <v>461.46000000000004</v>
      </c>
      <c r="S47" s="144"/>
      <c r="T47" s="145"/>
      <c r="U47" s="146"/>
      <c r="V47" s="143">
        <v>47466.79</v>
      </c>
      <c r="W47" s="143">
        <v>-232818.56000000003</v>
      </c>
      <c r="X47" s="144">
        <f t="shared" si="6"/>
        <v>280285.35000000003</v>
      </c>
      <c r="Y47" s="145">
        <f t="shared" si="7"/>
        <v>1.2038788917859469</v>
      </c>
      <c r="Z47" s="148"/>
      <c r="AA47" s="149">
        <v>-887.53</v>
      </c>
      <c r="AB47" s="150"/>
      <c r="AC47" s="117">
        <v>-637.63</v>
      </c>
      <c r="AD47" s="117">
        <v>1986.6200000000001</v>
      </c>
      <c r="AE47" s="117">
        <v>-1311.69</v>
      </c>
      <c r="AF47" s="117">
        <v>8509.77</v>
      </c>
      <c r="AG47" s="117">
        <v>-767.29</v>
      </c>
      <c r="AH47" s="117">
        <v>-1775.1200000000001</v>
      </c>
      <c r="AI47" s="117">
        <v>-10457.040000000001</v>
      </c>
      <c r="AJ47" s="117">
        <v>-3896</v>
      </c>
      <c r="AK47" s="117">
        <v>3628.91</v>
      </c>
      <c r="AL47" s="117">
        <v>1820.3</v>
      </c>
      <c r="AM47" s="117">
        <v>-3486.42</v>
      </c>
      <c r="AN47" s="117">
        <v>25803.47</v>
      </c>
      <c r="AO47" s="150"/>
      <c r="AP47" s="117">
        <v>14335.08</v>
      </c>
      <c r="AQ47" s="117">
        <v>15062.82</v>
      </c>
      <c r="AR47" s="117">
        <v>0</v>
      </c>
      <c r="AS47" s="117">
        <v>0</v>
      </c>
      <c r="AT47" s="117">
        <v>0</v>
      </c>
      <c r="AU47" s="117">
        <v>0</v>
      </c>
      <c r="AV47" s="117">
        <v>0</v>
      </c>
      <c r="AW47" s="117">
        <v>0</v>
      </c>
      <c r="AX47" s="117">
        <v>0</v>
      </c>
      <c r="AY47" s="117">
        <v>0</v>
      </c>
      <c r="AZ47" s="117">
        <v>0</v>
      </c>
      <c r="BA47" s="117">
        <v>0</v>
      </c>
    </row>
    <row r="48" spans="1:53" s="138" customFormat="1" outlineLevel="2" x14ac:dyDescent="0.25">
      <c r="A48" s="138" t="s">
        <v>271</v>
      </c>
      <c r="B48" s="139" t="s">
        <v>272</v>
      </c>
      <c r="C48" s="140" t="s">
        <v>273</v>
      </c>
      <c r="D48" s="141"/>
      <c r="E48" s="142"/>
      <c r="F48" s="143">
        <v>200728.53</v>
      </c>
      <c r="G48" s="143">
        <v>69636.600000000006</v>
      </c>
      <c r="H48" s="144">
        <f t="shared" si="4"/>
        <v>131091.93</v>
      </c>
      <c r="I48" s="145">
        <f t="shared" si="5"/>
        <v>1.8825147982526427</v>
      </c>
      <c r="J48" s="146"/>
      <c r="K48" s="143">
        <v>262547.53999999998</v>
      </c>
      <c r="L48" s="143">
        <v>59114.93</v>
      </c>
      <c r="M48" s="144"/>
      <c r="N48" s="145"/>
      <c r="O48" s="147"/>
      <c r="P48" s="146"/>
      <c r="Q48" s="143">
        <v>307171.07999999996</v>
      </c>
      <c r="R48" s="143">
        <v>32452.68</v>
      </c>
      <c r="S48" s="144"/>
      <c r="T48" s="145"/>
      <c r="U48" s="146"/>
      <c r="V48" s="143">
        <v>336213.07999999996</v>
      </c>
      <c r="W48" s="143">
        <v>-622177.35</v>
      </c>
      <c r="X48" s="144">
        <f t="shared" si="6"/>
        <v>958390.42999999993</v>
      </c>
      <c r="Y48" s="145">
        <f t="shared" si="7"/>
        <v>1.5403814201850967</v>
      </c>
      <c r="Z48" s="148"/>
      <c r="AA48" s="149">
        <v>-26662.25</v>
      </c>
      <c r="AB48" s="150"/>
      <c r="AC48" s="117">
        <v>-10521.67</v>
      </c>
      <c r="AD48" s="117">
        <v>69636.600000000006</v>
      </c>
      <c r="AE48" s="117">
        <v>-24102.63</v>
      </c>
      <c r="AF48" s="117">
        <v>121097.3</v>
      </c>
      <c r="AG48" s="117">
        <v>-13109.85</v>
      </c>
      <c r="AH48" s="117">
        <v>-17962.350000000002</v>
      </c>
      <c r="AI48" s="117">
        <v>-32820.83</v>
      </c>
      <c r="AJ48" s="117">
        <v>-9215.31</v>
      </c>
      <c r="AK48" s="117">
        <v>7755.1</v>
      </c>
      <c r="AL48" s="117">
        <v>21764.5</v>
      </c>
      <c r="AM48" s="117">
        <v>-24363.93</v>
      </c>
      <c r="AN48" s="117">
        <v>44623.54</v>
      </c>
      <c r="AO48" s="150"/>
      <c r="AP48" s="117">
        <v>61819.01</v>
      </c>
      <c r="AQ48" s="117">
        <v>200728.53</v>
      </c>
      <c r="AR48" s="117">
        <v>0</v>
      </c>
      <c r="AS48" s="117">
        <v>0</v>
      </c>
      <c r="AT48" s="117">
        <v>0</v>
      </c>
      <c r="AU48" s="117">
        <v>0</v>
      </c>
      <c r="AV48" s="117">
        <v>0</v>
      </c>
      <c r="AW48" s="117">
        <v>0</v>
      </c>
      <c r="AX48" s="117">
        <v>0</v>
      </c>
      <c r="AY48" s="117">
        <v>0</v>
      </c>
      <c r="AZ48" s="117">
        <v>0</v>
      </c>
      <c r="BA48" s="117">
        <v>0</v>
      </c>
    </row>
    <row r="49" spans="1:53" s="138" customFormat="1" outlineLevel="2" x14ac:dyDescent="0.25">
      <c r="A49" s="138" t="s">
        <v>274</v>
      </c>
      <c r="B49" s="139" t="s">
        <v>275</v>
      </c>
      <c r="C49" s="140" t="s">
        <v>276</v>
      </c>
      <c r="D49" s="141"/>
      <c r="E49" s="142"/>
      <c r="F49" s="143">
        <v>-1888.31</v>
      </c>
      <c r="G49" s="143">
        <v>-3015.27</v>
      </c>
      <c r="H49" s="144">
        <f t="shared" si="4"/>
        <v>1126.96</v>
      </c>
      <c r="I49" s="145">
        <f t="shared" si="5"/>
        <v>0.37375094104342232</v>
      </c>
      <c r="J49" s="146"/>
      <c r="K49" s="143">
        <v>-89525.07</v>
      </c>
      <c r="L49" s="143">
        <v>-9540</v>
      </c>
      <c r="M49" s="144"/>
      <c r="N49" s="145"/>
      <c r="O49" s="147"/>
      <c r="P49" s="146"/>
      <c r="Q49" s="143">
        <v>-233490.74000000002</v>
      </c>
      <c r="R49" s="143">
        <v>-5134.1499999999996</v>
      </c>
      <c r="S49" s="144"/>
      <c r="T49" s="145"/>
      <c r="U49" s="146"/>
      <c r="V49" s="143">
        <v>-684174.16999999993</v>
      </c>
      <c r="W49" s="143">
        <v>-1809344.8</v>
      </c>
      <c r="X49" s="144">
        <f t="shared" si="6"/>
        <v>1125170.6300000001</v>
      </c>
      <c r="Y49" s="145">
        <f t="shared" si="7"/>
        <v>0.62186634078811298</v>
      </c>
      <c r="Z49" s="148"/>
      <c r="AA49" s="149">
        <v>4405.8500000000004</v>
      </c>
      <c r="AB49" s="150"/>
      <c r="AC49" s="117">
        <v>-6524.7300000000005</v>
      </c>
      <c r="AD49" s="117">
        <v>-3015.27</v>
      </c>
      <c r="AE49" s="117">
        <v>15834.960000000001</v>
      </c>
      <c r="AF49" s="117">
        <v>10841.31</v>
      </c>
      <c r="AG49" s="117">
        <v>10740.99</v>
      </c>
      <c r="AH49" s="117">
        <v>-18156.38</v>
      </c>
      <c r="AI49" s="117">
        <v>-277548.64</v>
      </c>
      <c r="AJ49" s="117">
        <v>-225741.05000000002</v>
      </c>
      <c r="AK49" s="117">
        <v>-58368.3</v>
      </c>
      <c r="AL49" s="117">
        <v>-6632.18</v>
      </c>
      <c r="AM49" s="117">
        <v>98345.86</v>
      </c>
      <c r="AN49" s="117">
        <v>-143965.67000000001</v>
      </c>
      <c r="AO49" s="150"/>
      <c r="AP49" s="117">
        <v>-87636.76</v>
      </c>
      <c r="AQ49" s="117">
        <v>-1888.31</v>
      </c>
      <c r="AR49" s="117">
        <v>0</v>
      </c>
      <c r="AS49" s="117">
        <v>0</v>
      </c>
      <c r="AT49" s="117">
        <v>0</v>
      </c>
      <c r="AU49" s="117">
        <v>0</v>
      </c>
      <c r="AV49" s="117">
        <v>0</v>
      </c>
      <c r="AW49" s="117">
        <v>0</v>
      </c>
      <c r="AX49" s="117">
        <v>0</v>
      </c>
      <c r="AY49" s="117">
        <v>0</v>
      </c>
      <c r="AZ49" s="117">
        <v>0</v>
      </c>
      <c r="BA49" s="117">
        <v>0</v>
      </c>
    </row>
    <row r="50" spans="1:53" s="138" customFormat="1" outlineLevel="2" x14ac:dyDescent="0.25">
      <c r="A50" s="138" t="s">
        <v>277</v>
      </c>
      <c r="B50" s="139" t="s">
        <v>278</v>
      </c>
      <c r="C50" s="140" t="s">
        <v>279</v>
      </c>
      <c r="D50" s="141"/>
      <c r="E50" s="142"/>
      <c r="F50" s="143">
        <v>-7930.85</v>
      </c>
      <c r="G50" s="143">
        <v>-28359.940000000002</v>
      </c>
      <c r="H50" s="144">
        <f t="shared" si="4"/>
        <v>20429.090000000004</v>
      </c>
      <c r="I50" s="145">
        <f t="shared" si="5"/>
        <v>0.72035025461972069</v>
      </c>
      <c r="J50" s="146"/>
      <c r="K50" s="143">
        <v>-75641.259999999995</v>
      </c>
      <c r="L50" s="143">
        <v>-34189.840000000004</v>
      </c>
      <c r="M50" s="144"/>
      <c r="N50" s="145"/>
      <c r="O50" s="147"/>
      <c r="P50" s="146"/>
      <c r="Q50" s="143">
        <v>-267545.32</v>
      </c>
      <c r="R50" s="143">
        <v>-62298.83</v>
      </c>
      <c r="S50" s="144"/>
      <c r="T50" s="145"/>
      <c r="U50" s="146"/>
      <c r="V50" s="143">
        <v>-2864116.21</v>
      </c>
      <c r="W50" s="143">
        <v>-5565677.9100000001</v>
      </c>
      <c r="X50" s="144">
        <f t="shared" si="6"/>
        <v>2701561.7</v>
      </c>
      <c r="Y50" s="145">
        <f t="shared" si="7"/>
        <v>0.48539670165713922</v>
      </c>
      <c r="Z50" s="148"/>
      <c r="AA50" s="149">
        <v>-28108.99</v>
      </c>
      <c r="AB50" s="150"/>
      <c r="AC50" s="117">
        <v>-5829.9000000000005</v>
      </c>
      <c r="AD50" s="117">
        <v>-28359.940000000002</v>
      </c>
      <c r="AE50" s="117">
        <v>-146561.46</v>
      </c>
      <c r="AF50" s="117">
        <v>-10541.68</v>
      </c>
      <c r="AG50" s="117">
        <v>-34955.26</v>
      </c>
      <c r="AH50" s="117">
        <v>-693794.39</v>
      </c>
      <c r="AI50" s="117">
        <v>-716521.32000000007</v>
      </c>
      <c r="AJ50" s="117">
        <v>-335911.55</v>
      </c>
      <c r="AK50" s="117">
        <v>-55464.4</v>
      </c>
      <c r="AL50" s="117">
        <v>-106036.06</v>
      </c>
      <c r="AM50" s="117">
        <v>-496784.77</v>
      </c>
      <c r="AN50" s="117">
        <v>-191904.06</v>
      </c>
      <c r="AO50" s="150"/>
      <c r="AP50" s="117">
        <v>-67710.41</v>
      </c>
      <c r="AQ50" s="117">
        <v>-7930.85</v>
      </c>
      <c r="AR50" s="117">
        <v>0</v>
      </c>
      <c r="AS50" s="117">
        <v>0</v>
      </c>
      <c r="AT50" s="117">
        <v>0</v>
      </c>
      <c r="AU50" s="117">
        <v>0</v>
      </c>
      <c r="AV50" s="117">
        <v>0</v>
      </c>
      <c r="AW50" s="117">
        <v>0</v>
      </c>
      <c r="AX50" s="117">
        <v>0</v>
      </c>
      <c r="AY50" s="117">
        <v>0</v>
      </c>
      <c r="AZ50" s="117">
        <v>0</v>
      </c>
      <c r="BA50" s="117">
        <v>0</v>
      </c>
    </row>
    <row r="51" spans="1:53" s="138" customFormat="1" outlineLevel="2" x14ac:dyDescent="0.25">
      <c r="A51" s="138" t="s">
        <v>280</v>
      </c>
      <c r="B51" s="139" t="s">
        <v>281</v>
      </c>
      <c r="C51" s="140" t="s">
        <v>282</v>
      </c>
      <c r="D51" s="141"/>
      <c r="E51" s="142"/>
      <c r="F51" s="143">
        <v>55986.239999999998</v>
      </c>
      <c r="G51" s="143">
        <v>89387.16</v>
      </c>
      <c r="H51" s="144">
        <f t="shared" si="4"/>
        <v>-33400.920000000006</v>
      </c>
      <c r="I51" s="145">
        <f t="shared" si="5"/>
        <v>-0.37366574796648649</v>
      </c>
      <c r="J51" s="146"/>
      <c r="K51" s="143">
        <v>189235.58000000002</v>
      </c>
      <c r="L51" s="143">
        <v>102736.16</v>
      </c>
      <c r="M51" s="144"/>
      <c r="N51" s="145"/>
      <c r="O51" s="147"/>
      <c r="P51" s="146"/>
      <c r="Q51" s="143">
        <v>134232.54</v>
      </c>
      <c r="R51" s="143">
        <v>105184.33</v>
      </c>
      <c r="S51" s="144"/>
      <c r="T51" s="145"/>
      <c r="U51" s="146"/>
      <c r="V51" s="143">
        <v>1441875.31</v>
      </c>
      <c r="W51" s="143">
        <v>1503307.3499999999</v>
      </c>
      <c r="X51" s="144">
        <f t="shared" si="6"/>
        <v>-61432.039999999804</v>
      </c>
      <c r="Y51" s="145">
        <f t="shared" si="7"/>
        <v>-4.0864590996644704E-2</v>
      </c>
      <c r="Z51" s="148"/>
      <c r="AA51" s="149">
        <v>2448.17</v>
      </c>
      <c r="AB51" s="150"/>
      <c r="AC51" s="117">
        <v>13349</v>
      </c>
      <c r="AD51" s="117">
        <v>89387.16</v>
      </c>
      <c r="AE51" s="117">
        <v>240453.30000000002</v>
      </c>
      <c r="AF51" s="117">
        <v>4973.2</v>
      </c>
      <c r="AG51" s="117">
        <v>49767.82</v>
      </c>
      <c r="AH51" s="117">
        <v>118509.97</v>
      </c>
      <c r="AI51" s="117">
        <v>122405.43000000001</v>
      </c>
      <c r="AJ51" s="117">
        <v>244965.84</v>
      </c>
      <c r="AK51" s="117">
        <v>5083.3599999999997</v>
      </c>
      <c r="AL51" s="117">
        <v>-2357.98</v>
      </c>
      <c r="AM51" s="117">
        <v>523841.83</v>
      </c>
      <c r="AN51" s="117">
        <v>-55003.040000000001</v>
      </c>
      <c r="AO51" s="150"/>
      <c r="AP51" s="117">
        <v>133249.34</v>
      </c>
      <c r="AQ51" s="117">
        <v>55986.239999999998</v>
      </c>
      <c r="AR51" s="117">
        <v>40.230000000000004</v>
      </c>
      <c r="AS51" s="117">
        <v>0</v>
      </c>
      <c r="AT51" s="117">
        <v>0</v>
      </c>
      <c r="AU51" s="117">
        <v>0</v>
      </c>
      <c r="AV51" s="117">
        <v>0</v>
      </c>
      <c r="AW51" s="117">
        <v>0</v>
      </c>
      <c r="AX51" s="117">
        <v>0</v>
      </c>
      <c r="AY51" s="117">
        <v>0</v>
      </c>
      <c r="AZ51" s="117">
        <v>0</v>
      </c>
      <c r="BA51" s="117">
        <v>0</v>
      </c>
    </row>
    <row r="52" spans="1:53" s="138" customFormat="1" outlineLevel="2" x14ac:dyDescent="0.25">
      <c r="A52" s="138" t="s">
        <v>283</v>
      </c>
      <c r="B52" s="139" t="s">
        <v>284</v>
      </c>
      <c r="C52" s="140" t="s">
        <v>285</v>
      </c>
      <c r="D52" s="141"/>
      <c r="E52" s="142"/>
      <c r="F52" s="143">
        <v>6347.67</v>
      </c>
      <c r="G52" s="143">
        <v>10704.334000000001</v>
      </c>
      <c r="H52" s="144">
        <f t="shared" si="4"/>
        <v>-4356.6640000000007</v>
      </c>
      <c r="I52" s="145">
        <f t="shared" si="5"/>
        <v>-0.40700000579204648</v>
      </c>
      <c r="J52" s="146"/>
      <c r="K52" s="143">
        <v>14915.82</v>
      </c>
      <c r="L52" s="143">
        <v>22897.423999999999</v>
      </c>
      <c r="M52" s="144"/>
      <c r="N52" s="145"/>
      <c r="O52" s="147"/>
      <c r="P52" s="146"/>
      <c r="Q52" s="143">
        <v>25757.67</v>
      </c>
      <c r="R52" s="143">
        <v>34297.873999999996</v>
      </c>
      <c r="S52" s="144"/>
      <c r="T52" s="145"/>
      <c r="U52" s="146"/>
      <c r="V52" s="143">
        <v>74939.929999999993</v>
      </c>
      <c r="W52" s="143">
        <v>73394.103999999992</v>
      </c>
      <c r="X52" s="144">
        <f t="shared" si="6"/>
        <v>1545.8260000000009</v>
      </c>
      <c r="Y52" s="145">
        <f t="shared" si="7"/>
        <v>2.1061991573601078E-2</v>
      </c>
      <c r="Z52" s="148"/>
      <c r="AA52" s="149">
        <v>11400.45</v>
      </c>
      <c r="AB52" s="150"/>
      <c r="AC52" s="117">
        <v>12193.09</v>
      </c>
      <c r="AD52" s="117">
        <v>10704.334000000001</v>
      </c>
      <c r="AE52" s="117">
        <v>12678.68</v>
      </c>
      <c r="AF52" s="117">
        <v>11804.74</v>
      </c>
      <c r="AG52" s="117">
        <v>11638</v>
      </c>
      <c r="AH52" s="117">
        <v>-40406.559999999998</v>
      </c>
      <c r="AI52" s="117">
        <v>-674.18000000000006</v>
      </c>
      <c r="AJ52" s="117">
        <v>22335.62</v>
      </c>
      <c r="AK52" s="117">
        <v>10746.49</v>
      </c>
      <c r="AL52" s="117">
        <v>10731.49</v>
      </c>
      <c r="AM52" s="117">
        <v>10327.98</v>
      </c>
      <c r="AN52" s="117">
        <v>10841.85</v>
      </c>
      <c r="AO52" s="150"/>
      <c r="AP52" s="117">
        <v>8568.15</v>
      </c>
      <c r="AQ52" s="117">
        <v>6347.67</v>
      </c>
      <c r="AR52" s="117">
        <v>92500.44</v>
      </c>
      <c r="AS52" s="117">
        <v>0</v>
      </c>
      <c r="AT52" s="117">
        <v>0</v>
      </c>
      <c r="AU52" s="117">
        <v>0</v>
      </c>
      <c r="AV52" s="117">
        <v>0</v>
      </c>
      <c r="AW52" s="117">
        <v>0</v>
      </c>
      <c r="AX52" s="117">
        <v>0</v>
      </c>
      <c r="AY52" s="117">
        <v>0</v>
      </c>
      <c r="AZ52" s="117">
        <v>0</v>
      </c>
      <c r="BA52" s="117">
        <v>0</v>
      </c>
    </row>
    <row r="53" spans="1:53" s="138" customFormat="1" outlineLevel="2" x14ac:dyDescent="0.25">
      <c r="A53" s="138" t="s">
        <v>286</v>
      </c>
      <c r="B53" s="139" t="s">
        <v>287</v>
      </c>
      <c r="C53" s="140" t="s">
        <v>288</v>
      </c>
      <c r="D53" s="141"/>
      <c r="E53" s="142"/>
      <c r="F53" s="143">
        <v>0</v>
      </c>
      <c r="G53" s="143">
        <v>293426.40000000002</v>
      </c>
      <c r="H53" s="144">
        <f t="shared" si="4"/>
        <v>-293426.40000000002</v>
      </c>
      <c r="I53" s="145" t="str">
        <f t="shared" si="5"/>
        <v>N.M.</v>
      </c>
      <c r="J53" s="146"/>
      <c r="K53" s="143">
        <v>0</v>
      </c>
      <c r="L53" s="143">
        <v>640376.28</v>
      </c>
      <c r="M53" s="144"/>
      <c r="N53" s="145"/>
      <c r="O53" s="147"/>
      <c r="P53" s="146"/>
      <c r="Q53" s="143">
        <v>0</v>
      </c>
      <c r="R53" s="143">
        <v>914751.60000000009</v>
      </c>
      <c r="S53" s="144"/>
      <c r="T53" s="145"/>
      <c r="U53" s="146"/>
      <c r="V53" s="143">
        <v>690007.62</v>
      </c>
      <c r="W53" s="143">
        <v>2448347.9299999997</v>
      </c>
      <c r="X53" s="144">
        <f t="shared" si="6"/>
        <v>-1758340.3099999996</v>
      </c>
      <c r="Y53" s="145">
        <f t="shared" si="7"/>
        <v>-0.71817419757003242</v>
      </c>
      <c r="Z53" s="148"/>
      <c r="AA53" s="149">
        <v>274375.32</v>
      </c>
      <c r="AB53" s="150"/>
      <c r="AC53" s="117">
        <v>346949.88</v>
      </c>
      <c r="AD53" s="117">
        <v>293426.40000000002</v>
      </c>
      <c r="AE53" s="117">
        <v>225106.76</v>
      </c>
      <c r="AF53" s="117">
        <v>219186.13</v>
      </c>
      <c r="AG53" s="117">
        <v>229567.56</v>
      </c>
      <c r="AH53" s="117">
        <v>9753.51</v>
      </c>
      <c r="AI53" s="117">
        <v>6106.54</v>
      </c>
      <c r="AJ53" s="117">
        <v>-33.79</v>
      </c>
      <c r="AK53" s="117">
        <v>320.91000000000003</v>
      </c>
      <c r="AL53" s="117">
        <v>0</v>
      </c>
      <c r="AM53" s="117">
        <v>0</v>
      </c>
      <c r="AN53" s="117">
        <v>0</v>
      </c>
      <c r="AO53" s="150"/>
      <c r="AP53" s="117">
        <v>0</v>
      </c>
      <c r="AQ53" s="117">
        <v>0</v>
      </c>
      <c r="AR53" s="117">
        <v>0</v>
      </c>
      <c r="AS53" s="117">
        <v>0</v>
      </c>
      <c r="AT53" s="117">
        <v>0</v>
      </c>
      <c r="AU53" s="117">
        <v>0</v>
      </c>
      <c r="AV53" s="117">
        <v>0</v>
      </c>
      <c r="AW53" s="117">
        <v>0</v>
      </c>
      <c r="AX53" s="117">
        <v>0</v>
      </c>
      <c r="AY53" s="117">
        <v>0</v>
      </c>
      <c r="AZ53" s="117">
        <v>0</v>
      </c>
      <c r="BA53" s="117">
        <v>0</v>
      </c>
    </row>
    <row r="54" spans="1:53" s="138" customFormat="1" outlineLevel="2" x14ac:dyDescent="0.25">
      <c r="A54" s="138" t="s">
        <v>289</v>
      </c>
      <c r="B54" s="139" t="s">
        <v>290</v>
      </c>
      <c r="C54" s="140" t="s">
        <v>291</v>
      </c>
      <c r="D54" s="141"/>
      <c r="E54" s="142"/>
      <c r="F54" s="143">
        <v>0</v>
      </c>
      <c r="G54" s="143">
        <v>0</v>
      </c>
      <c r="H54" s="144">
        <f t="shared" si="4"/>
        <v>0</v>
      </c>
      <c r="I54" s="145">
        <f t="shared" si="5"/>
        <v>0</v>
      </c>
      <c r="J54" s="146"/>
      <c r="K54" s="143">
        <v>0</v>
      </c>
      <c r="L54" s="143">
        <v>0</v>
      </c>
      <c r="M54" s="144"/>
      <c r="N54" s="145"/>
      <c r="O54" s="147"/>
      <c r="P54" s="146"/>
      <c r="Q54" s="143">
        <v>152.02000000000001</v>
      </c>
      <c r="R54" s="143">
        <v>0</v>
      </c>
      <c r="S54" s="144"/>
      <c r="T54" s="145"/>
      <c r="U54" s="146"/>
      <c r="V54" s="143">
        <v>-104.88</v>
      </c>
      <c r="W54" s="143">
        <v>-3896.05</v>
      </c>
      <c r="X54" s="144">
        <f t="shared" si="6"/>
        <v>3791.17</v>
      </c>
      <c r="Y54" s="145">
        <f t="shared" si="7"/>
        <v>0.97308042761258196</v>
      </c>
      <c r="Z54" s="148"/>
      <c r="AA54" s="149">
        <v>0</v>
      </c>
      <c r="AB54" s="150"/>
      <c r="AC54" s="117">
        <v>0</v>
      </c>
      <c r="AD54" s="117">
        <v>0</v>
      </c>
      <c r="AE54" s="117">
        <v>-182.07</v>
      </c>
      <c r="AF54" s="117">
        <v>0</v>
      </c>
      <c r="AG54" s="117">
        <v>0</v>
      </c>
      <c r="AH54" s="117">
        <v>0</v>
      </c>
      <c r="AI54" s="117">
        <v>0</v>
      </c>
      <c r="AJ54" s="117">
        <v>1.18</v>
      </c>
      <c r="AK54" s="117">
        <v>76.010000000000005</v>
      </c>
      <c r="AL54" s="117">
        <v>-152.02000000000001</v>
      </c>
      <c r="AM54" s="117">
        <v>0</v>
      </c>
      <c r="AN54" s="117">
        <v>152.02000000000001</v>
      </c>
      <c r="AO54" s="150"/>
      <c r="AP54" s="117">
        <v>0</v>
      </c>
      <c r="AQ54" s="117">
        <v>0</v>
      </c>
      <c r="AR54" s="117">
        <v>0</v>
      </c>
      <c r="AS54" s="117">
        <v>0</v>
      </c>
      <c r="AT54" s="117">
        <v>0</v>
      </c>
      <c r="AU54" s="117">
        <v>0</v>
      </c>
      <c r="AV54" s="117">
        <v>0</v>
      </c>
      <c r="AW54" s="117">
        <v>0</v>
      </c>
      <c r="AX54" s="117">
        <v>0</v>
      </c>
      <c r="AY54" s="117">
        <v>0</v>
      </c>
      <c r="AZ54" s="117">
        <v>0</v>
      </c>
      <c r="BA54" s="117">
        <v>0</v>
      </c>
    </row>
    <row r="55" spans="1:53" s="138" customFormat="1" outlineLevel="2" x14ac:dyDescent="0.25">
      <c r="A55" s="138" t="s">
        <v>292</v>
      </c>
      <c r="B55" s="139" t="s">
        <v>293</v>
      </c>
      <c r="C55" s="140" t="s">
        <v>294</v>
      </c>
      <c r="D55" s="141"/>
      <c r="E55" s="142"/>
      <c r="F55" s="143">
        <v>0</v>
      </c>
      <c r="G55" s="143">
        <v>-1821.06</v>
      </c>
      <c r="H55" s="144">
        <f t="shared" si="4"/>
        <v>1821.06</v>
      </c>
      <c r="I55" s="145" t="str">
        <f t="shared" si="5"/>
        <v>N.M.</v>
      </c>
      <c r="J55" s="146"/>
      <c r="K55" s="143">
        <v>0</v>
      </c>
      <c r="L55" s="143">
        <v>-3642.12</v>
      </c>
      <c r="M55" s="144"/>
      <c r="N55" s="145"/>
      <c r="O55" s="147"/>
      <c r="P55" s="146"/>
      <c r="Q55" s="143">
        <v>0</v>
      </c>
      <c r="R55" s="143">
        <v>-5463.18</v>
      </c>
      <c r="S55" s="144"/>
      <c r="T55" s="145"/>
      <c r="U55" s="146"/>
      <c r="V55" s="143">
        <v>-2906.91</v>
      </c>
      <c r="W55" s="143">
        <v>-17297.310000000001</v>
      </c>
      <c r="X55" s="144">
        <f t="shared" si="6"/>
        <v>14390.400000000001</v>
      </c>
      <c r="Y55" s="145">
        <f t="shared" si="7"/>
        <v>0.83194438904083934</v>
      </c>
      <c r="Z55" s="148"/>
      <c r="AA55" s="149">
        <v>-1821.06</v>
      </c>
      <c r="AB55" s="150"/>
      <c r="AC55" s="117">
        <v>-1821.06</v>
      </c>
      <c r="AD55" s="117">
        <v>-1821.06</v>
      </c>
      <c r="AE55" s="117">
        <v>-1821.06</v>
      </c>
      <c r="AF55" s="117">
        <v>-1821.06</v>
      </c>
      <c r="AG55" s="117">
        <v>735.21</v>
      </c>
      <c r="AH55" s="117">
        <v>0</v>
      </c>
      <c r="AI55" s="117">
        <v>0</v>
      </c>
      <c r="AJ55" s="117">
        <v>0</v>
      </c>
      <c r="AK55" s="117">
        <v>0</v>
      </c>
      <c r="AL55" s="117">
        <v>0</v>
      </c>
      <c r="AM55" s="117">
        <v>0</v>
      </c>
      <c r="AN55" s="117">
        <v>0</v>
      </c>
      <c r="AO55" s="150"/>
      <c r="AP55" s="117">
        <v>0</v>
      </c>
      <c r="AQ55" s="117">
        <v>0</v>
      </c>
      <c r="AR55" s="117">
        <v>0</v>
      </c>
      <c r="AS55" s="117">
        <v>0</v>
      </c>
      <c r="AT55" s="117">
        <v>0</v>
      </c>
      <c r="AU55" s="117">
        <v>0</v>
      </c>
      <c r="AV55" s="117">
        <v>0</v>
      </c>
      <c r="AW55" s="117">
        <v>0</v>
      </c>
      <c r="AX55" s="117">
        <v>0</v>
      </c>
      <c r="AY55" s="117">
        <v>0</v>
      </c>
      <c r="AZ55" s="117">
        <v>0</v>
      </c>
      <c r="BA55" s="117">
        <v>0</v>
      </c>
    </row>
    <row r="56" spans="1:53" s="138" customFormat="1" outlineLevel="2" x14ac:dyDescent="0.25">
      <c r="A56" s="138" t="s">
        <v>295</v>
      </c>
      <c r="B56" s="139" t="s">
        <v>296</v>
      </c>
      <c r="C56" s="140" t="s">
        <v>297</v>
      </c>
      <c r="D56" s="141"/>
      <c r="E56" s="142"/>
      <c r="F56" s="143">
        <v>-754682.9</v>
      </c>
      <c r="G56" s="143">
        <v>-986965.83000000007</v>
      </c>
      <c r="H56" s="144">
        <f t="shared" si="4"/>
        <v>232282.93000000005</v>
      </c>
      <c r="I56" s="145">
        <f t="shared" si="5"/>
        <v>0.23535052880199514</v>
      </c>
      <c r="J56" s="146"/>
      <c r="K56" s="143">
        <v>-1993938.9</v>
      </c>
      <c r="L56" s="143">
        <v>-2090983.65</v>
      </c>
      <c r="M56" s="144"/>
      <c r="N56" s="145"/>
      <c r="O56" s="147"/>
      <c r="P56" s="146"/>
      <c r="Q56" s="143">
        <v>-2932062.67</v>
      </c>
      <c r="R56" s="143">
        <v>-3695085.17</v>
      </c>
      <c r="S56" s="144"/>
      <c r="T56" s="145"/>
      <c r="U56" s="146"/>
      <c r="V56" s="143">
        <v>-5474056.5199999996</v>
      </c>
      <c r="W56" s="143">
        <v>-2705825.02</v>
      </c>
      <c r="X56" s="144">
        <f t="shared" si="6"/>
        <v>-2768231.4999999995</v>
      </c>
      <c r="Y56" s="145">
        <f t="shared" si="7"/>
        <v>-1.0230637530286417</v>
      </c>
      <c r="Z56" s="148"/>
      <c r="AA56" s="149">
        <v>-1604101.52</v>
      </c>
      <c r="AB56" s="150"/>
      <c r="AC56" s="117">
        <v>-1104017.82</v>
      </c>
      <c r="AD56" s="117">
        <v>-986965.83000000007</v>
      </c>
      <c r="AE56" s="117">
        <v>-812223.21</v>
      </c>
      <c r="AF56" s="117">
        <v>-770588.1</v>
      </c>
      <c r="AG56" s="117">
        <v>-765252.45000000007</v>
      </c>
      <c r="AH56" s="117">
        <v>132517.46</v>
      </c>
      <c r="AI56" s="117">
        <v>208123.4</v>
      </c>
      <c r="AJ56" s="117">
        <v>-244286.66</v>
      </c>
      <c r="AK56" s="117">
        <v>-623146.67000000004</v>
      </c>
      <c r="AL56" s="117">
        <v>-205479.80000000002</v>
      </c>
      <c r="AM56" s="117">
        <v>538342.18000000005</v>
      </c>
      <c r="AN56" s="117">
        <v>-938123.77</v>
      </c>
      <c r="AO56" s="150"/>
      <c r="AP56" s="117">
        <v>-1239256</v>
      </c>
      <c r="AQ56" s="117">
        <v>-754682.9</v>
      </c>
      <c r="AR56" s="117">
        <v>0</v>
      </c>
      <c r="AS56" s="117">
        <v>0</v>
      </c>
      <c r="AT56" s="117">
        <v>0</v>
      </c>
      <c r="AU56" s="117">
        <v>0</v>
      </c>
      <c r="AV56" s="117">
        <v>0</v>
      </c>
      <c r="AW56" s="117">
        <v>0</v>
      </c>
      <c r="AX56" s="117">
        <v>0</v>
      </c>
      <c r="AY56" s="117">
        <v>0</v>
      </c>
      <c r="AZ56" s="117">
        <v>0</v>
      </c>
      <c r="BA56" s="117">
        <v>0</v>
      </c>
    </row>
    <row r="57" spans="1:53" s="138" customFormat="1" outlineLevel="2" x14ac:dyDescent="0.25">
      <c r="A57" s="138" t="s">
        <v>298</v>
      </c>
      <c r="B57" s="139" t="s">
        <v>299</v>
      </c>
      <c r="C57" s="140" t="s">
        <v>300</v>
      </c>
      <c r="D57" s="141"/>
      <c r="E57" s="142"/>
      <c r="F57" s="143">
        <v>754682.9</v>
      </c>
      <c r="G57" s="143">
        <v>986965.83000000007</v>
      </c>
      <c r="H57" s="144">
        <f t="shared" si="4"/>
        <v>-232282.93000000005</v>
      </c>
      <c r="I57" s="145">
        <f t="shared" si="5"/>
        <v>-0.23535052880199514</v>
      </c>
      <c r="J57" s="146"/>
      <c r="K57" s="143">
        <v>1993938.9</v>
      </c>
      <c r="L57" s="143">
        <v>2090983.65</v>
      </c>
      <c r="M57" s="144"/>
      <c r="N57" s="145"/>
      <c r="O57" s="147"/>
      <c r="P57" s="146"/>
      <c r="Q57" s="143">
        <v>2932062.67</v>
      </c>
      <c r="R57" s="143">
        <v>3695085.17</v>
      </c>
      <c r="S57" s="144"/>
      <c r="T57" s="145"/>
      <c r="U57" s="146"/>
      <c r="V57" s="143">
        <v>5474056.5199999996</v>
      </c>
      <c r="W57" s="143">
        <v>2705825.02</v>
      </c>
      <c r="X57" s="144">
        <f t="shared" si="6"/>
        <v>2768231.4999999995</v>
      </c>
      <c r="Y57" s="145">
        <f t="shared" si="7"/>
        <v>1.0230637530286417</v>
      </c>
      <c r="Z57" s="148"/>
      <c r="AA57" s="149">
        <v>1604101.52</v>
      </c>
      <c r="AB57" s="150"/>
      <c r="AC57" s="117">
        <v>1104017.82</v>
      </c>
      <c r="AD57" s="117">
        <v>986965.83000000007</v>
      </c>
      <c r="AE57" s="117">
        <v>812223.21</v>
      </c>
      <c r="AF57" s="117">
        <v>770588.1</v>
      </c>
      <c r="AG57" s="117">
        <v>765252.45000000007</v>
      </c>
      <c r="AH57" s="117">
        <v>-132517.46</v>
      </c>
      <c r="AI57" s="117">
        <v>-208123.4</v>
      </c>
      <c r="AJ57" s="117">
        <v>244286.66</v>
      </c>
      <c r="AK57" s="117">
        <v>623146.67000000004</v>
      </c>
      <c r="AL57" s="117">
        <v>205479.80000000002</v>
      </c>
      <c r="AM57" s="117">
        <v>-538342.18000000005</v>
      </c>
      <c r="AN57" s="117">
        <v>938123.77</v>
      </c>
      <c r="AO57" s="150"/>
      <c r="AP57" s="117">
        <v>1239256</v>
      </c>
      <c r="AQ57" s="117">
        <v>754682.9</v>
      </c>
      <c r="AR57" s="117">
        <v>0</v>
      </c>
      <c r="AS57" s="117">
        <v>0</v>
      </c>
      <c r="AT57" s="117">
        <v>0</v>
      </c>
      <c r="AU57" s="117">
        <v>0</v>
      </c>
      <c r="AV57" s="117">
        <v>0</v>
      </c>
      <c r="AW57" s="117">
        <v>0</v>
      </c>
      <c r="AX57" s="117">
        <v>0</v>
      </c>
      <c r="AY57" s="117">
        <v>0</v>
      </c>
      <c r="AZ57" s="117">
        <v>0</v>
      </c>
      <c r="BA57" s="117">
        <v>0</v>
      </c>
    </row>
    <row r="58" spans="1:53" s="138" customFormat="1" outlineLevel="2" x14ac:dyDescent="0.25">
      <c r="A58" s="138" t="s">
        <v>301</v>
      </c>
      <c r="B58" s="139" t="s">
        <v>302</v>
      </c>
      <c r="C58" s="140" t="s">
        <v>303</v>
      </c>
      <c r="D58" s="141"/>
      <c r="E58" s="142"/>
      <c r="F58" s="143">
        <v>0</v>
      </c>
      <c r="G58" s="143">
        <v>0</v>
      </c>
      <c r="H58" s="144">
        <f t="shared" si="4"/>
        <v>0</v>
      </c>
      <c r="I58" s="145">
        <f t="shared" si="5"/>
        <v>0</v>
      </c>
      <c r="J58" s="146"/>
      <c r="K58" s="143">
        <v>0</v>
      </c>
      <c r="L58" s="143">
        <v>0</v>
      </c>
      <c r="M58" s="144"/>
      <c r="N58" s="145"/>
      <c r="O58" s="147"/>
      <c r="P58" s="146"/>
      <c r="Q58" s="143">
        <v>0</v>
      </c>
      <c r="R58" s="143">
        <v>0</v>
      </c>
      <c r="S58" s="144"/>
      <c r="T58" s="145"/>
      <c r="U58" s="146"/>
      <c r="V58" s="143">
        <v>0</v>
      </c>
      <c r="W58" s="143">
        <v>-64260.959999999999</v>
      </c>
      <c r="X58" s="144">
        <f t="shared" si="6"/>
        <v>64260.959999999999</v>
      </c>
      <c r="Y58" s="145" t="str">
        <f t="shared" si="7"/>
        <v>N.M.</v>
      </c>
      <c r="Z58" s="148"/>
      <c r="AA58" s="149">
        <v>0</v>
      </c>
      <c r="AB58" s="150"/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50"/>
      <c r="AP58" s="117">
        <v>0</v>
      </c>
      <c r="AQ58" s="117">
        <v>0</v>
      </c>
      <c r="AR58" s="117">
        <v>0</v>
      </c>
      <c r="AS58" s="117">
        <v>0</v>
      </c>
      <c r="AT58" s="117">
        <v>0</v>
      </c>
      <c r="AU58" s="117">
        <v>0</v>
      </c>
      <c r="AV58" s="117">
        <v>0</v>
      </c>
      <c r="AW58" s="117">
        <v>0</v>
      </c>
      <c r="AX58" s="117">
        <v>0</v>
      </c>
      <c r="AY58" s="117">
        <v>0</v>
      </c>
      <c r="AZ58" s="117">
        <v>0</v>
      </c>
      <c r="BA58" s="117">
        <v>0</v>
      </c>
    </row>
    <row r="59" spans="1:53" s="138" customFormat="1" outlineLevel="2" x14ac:dyDescent="0.25">
      <c r="A59" s="138" t="s">
        <v>304</v>
      </c>
      <c r="B59" s="139" t="s">
        <v>305</v>
      </c>
      <c r="C59" s="140" t="s">
        <v>306</v>
      </c>
      <c r="D59" s="141"/>
      <c r="E59" s="142"/>
      <c r="F59" s="143">
        <v>0</v>
      </c>
      <c r="G59" s="143">
        <v>0</v>
      </c>
      <c r="H59" s="144">
        <f t="shared" si="4"/>
        <v>0</v>
      </c>
      <c r="I59" s="145">
        <f t="shared" si="5"/>
        <v>0</v>
      </c>
      <c r="J59" s="146"/>
      <c r="K59" s="143">
        <v>0</v>
      </c>
      <c r="L59" s="143">
        <v>0</v>
      </c>
      <c r="M59" s="144"/>
      <c r="N59" s="145"/>
      <c r="O59" s="147"/>
      <c r="P59" s="146"/>
      <c r="Q59" s="143">
        <v>0</v>
      </c>
      <c r="R59" s="143">
        <v>0</v>
      </c>
      <c r="S59" s="144"/>
      <c r="T59" s="145"/>
      <c r="U59" s="146"/>
      <c r="V59" s="143">
        <v>0</v>
      </c>
      <c r="W59" s="143">
        <v>772586.66</v>
      </c>
      <c r="X59" s="144">
        <f t="shared" si="6"/>
        <v>-772586.66</v>
      </c>
      <c r="Y59" s="145" t="str">
        <f t="shared" si="7"/>
        <v>N.M.</v>
      </c>
      <c r="Z59" s="148"/>
      <c r="AA59" s="149">
        <v>0</v>
      </c>
      <c r="AB59" s="150"/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50"/>
      <c r="AP59" s="117">
        <v>0</v>
      </c>
      <c r="AQ59" s="117">
        <v>0</v>
      </c>
      <c r="AR59" s="117">
        <v>0</v>
      </c>
      <c r="AS59" s="117">
        <v>0</v>
      </c>
      <c r="AT59" s="117">
        <v>0</v>
      </c>
      <c r="AU59" s="117">
        <v>0</v>
      </c>
      <c r="AV59" s="117">
        <v>0</v>
      </c>
      <c r="AW59" s="117">
        <v>0</v>
      </c>
      <c r="AX59" s="117">
        <v>0</v>
      </c>
      <c r="AY59" s="117">
        <v>0</v>
      </c>
      <c r="AZ59" s="117">
        <v>0</v>
      </c>
      <c r="BA59" s="117">
        <v>0</v>
      </c>
    </row>
    <row r="60" spans="1:53" s="138" customFormat="1" outlineLevel="2" x14ac:dyDescent="0.25">
      <c r="A60" s="138" t="s">
        <v>307</v>
      </c>
      <c r="B60" s="139" t="s">
        <v>308</v>
      </c>
      <c r="C60" s="140" t="s">
        <v>309</v>
      </c>
      <c r="D60" s="141"/>
      <c r="E60" s="142"/>
      <c r="F60" s="143">
        <v>5854.3</v>
      </c>
      <c r="G60" s="143">
        <v>3812.73</v>
      </c>
      <c r="H60" s="144">
        <f t="shared" si="4"/>
        <v>2041.5700000000002</v>
      </c>
      <c r="I60" s="145">
        <f t="shared" si="5"/>
        <v>0.53546146724263199</v>
      </c>
      <c r="J60" s="146"/>
      <c r="K60" s="143">
        <v>14289.58</v>
      </c>
      <c r="L60" s="143">
        <v>5767.86</v>
      </c>
      <c r="M60" s="144"/>
      <c r="N60" s="145"/>
      <c r="O60" s="147"/>
      <c r="P60" s="146"/>
      <c r="Q60" s="143">
        <v>39246.46</v>
      </c>
      <c r="R60" s="143">
        <v>8347.61</v>
      </c>
      <c r="S60" s="144"/>
      <c r="T60" s="145"/>
      <c r="U60" s="146"/>
      <c r="V60" s="143">
        <v>249508.06999999998</v>
      </c>
      <c r="W60" s="143">
        <v>366984.74</v>
      </c>
      <c r="X60" s="144">
        <f t="shared" si="6"/>
        <v>-117476.67000000001</v>
      </c>
      <c r="Y60" s="145">
        <f t="shared" si="7"/>
        <v>-0.32011322868629366</v>
      </c>
      <c r="Z60" s="148"/>
      <c r="AA60" s="149">
        <v>2579.75</v>
      </c>
      <c r="AB60" s="150"/>
      <c r="AC60" s="117">
        <v>1955.13</v>
      </c>
      <c r="AD60" s="117">
        <v>3812.73</v>
      </c>
      <c r="AE60" s="117">
        <v>4715.09</v>
      </c>
      <c r="AF60" s="117">
        <v>3907.9</v>
      </c>
      <c r="AG60" s="117">
        <v>6161.08</v>
      </c>
      <c r="AH60" s="117">
        <v>24279.200000000001</v>
      </c>
      <c r="AI60" s="117">
        <v>55693.22</v>
      </c>
      <c r="AJ60" s="117">
        <v>52641.67</v>
      </c>
      <c r="AK60" s="117">
        <v>13718.94</v>
      </c>
      <c r="AL60" s="117">
        <v>15257.29</v>
      </c>
      <c r="AM60" s="117">
        <v>33887.22</v>
      </c>
      <c r="AN60" s="117">
        <v>24956.880000000001</v>
      </c>
      <c r="AO60" s="150"/>
      <c r="AP60" s="117">
        <v>8435.2800000000007</v>
      </c>
      <c r="AQ60" s="117">
        <v>5854.3</v>
      </c>
      <c r="AR60" s="117">
        <v>0</v>
      </c>
      <c r="AS60" s="117">
        <v>0</v>
      </c>
      <c r="AT60" s="117">
        <v>0</v>
      </c>
      <c r="AU60" s="117">
        <v>0</v>
      </c>
      <c r="AV60" s="117">
        <v>0</v>
      </c>
      <c r="AW60" s="117">
        <v>0</v>
      </c>
      <c r="AX60" s="117">
        <v>0</v>
      </c>
      <c r="AY60" s="117">
        <v>0</v>
      </c>
      <c r="AZ60" s="117">
        <v>0</v>
      </c>
      <c r="BA60" s="117">
        <v>0</v>
      </c>
    </row>
    <row r="61" spans="1:53" s="138" customFormat="1" outlineLevel="2" x14ac:dyDescent="0.25">
      <c r="A61" s="138" t="s">
        <v>310</v>
      </c>
      <c r="B61" s="139" t="s">
        <v>311</v>
      </c>
      <c r="C61" s="140" t="s">
        <v>312</v>
      </c>
      <c r="D61" s="141"/>
      <c r="E61" s="142"/>
      <c r="F61" s="143">
        <v>-19270.43</v>
      </c>
      <c r="G61" s="143">
        <v>-19862.5</v>
      </c>
      <c r="H61" s="144">
        <f t="shared" si="4"/>
        <v>592.06999999999971</v>
      </c>
      <c r="I61" s="145">
        <f t="shared" si="5"/>
        <v>2.9808432976714899E-2</v>
      </c>
      <c r="J61" s="146"/>
      <c r="K61" s="143">
        <v>-87308.03</v>
      </c>
      <c r="L61" s="143">
        <v>-30887.010000000002</v>
      </c>
      <c r="M61" s="144"/>
      <c r="N61" s="145"/>
      <c r="O61" s="147"/>
      <c r="P61" s="146"/>
      <c r="Q61" s="143">
        <v>-312224.64000000001</v>
      </c>
      <c r="R61" s="143">
        <v>-39682.25</v>
      </c>
      <c r="S61" s="144"/>
      <c r="T61" s="145"/>
      <c r="U61" s="146"/>
      <c r="V61" s="143">
        <v>-1656445.9600000002</v>
      </c>
      <c r="W61" s="143">
        <v>-2164879.6999999997</v>
      </c>
      <c r="X61" s="144">
        <f t="shared" si="6"/>
        <v>508433.73999999953</v>
      </c>
      <c r="Y61" s="145">
        <f t="shared" si="7"/>
        <v>0.23485542406813625</v>
      </c>
      <c r="Z61" s="148"/>
      <c r="AA61" s="149">
        <v>-8795.24</v>
      </c>
      <c r="AB61" s="150"/>
      <c r="AC61" s="117">
        <v>-11024.51</v>
      </c>
      <c r="AD61" s="117">
        <v>-19862.5</v>
      </c>
      <c r="AE61" s="117">
        <v>-19158.09</v>
      </c>
      <c r="AF61" s="117">
        <v>-13792.220000000001</v>
      </c>
      <c r="AG61" s="117">
        <v>-29758.15</v>
      </c>
      <c r="AH61" s="117">
        <v>-171628.94</v>
      </c>
      <c r="AI61" s="117">
        <v>-413517.21</v>
      </c>
      <c r="AJ61" s="117">
        <v>-284993.57</v>
      </c>
      <c r="AK61" s="117">
        <v>-66819.91</v>
      </c>
      <c r="AL61" s="117">
        <v>-84183.19</v>
      </c>
      <c r="AM61" s="117">
        <v>-260370.04</v>
      </c>
      <c r="AN61" s="117">
        <v>-224916.61000000002</v>
      </c>
      <c r="AO61" s="150"/>
      <c r="AP61" s="117">
        <v>-68037.600000000006</v>
      </c>
      <c r="AQ61" s="117">
        <v>-19270.43</v>
      </c>
      <c r="AR61" s="117">
        <v>0</v>
      </c>
      <c r="AS61" s="117">
        <v>0</v>
      </c>
      <c r="AT61" s="117">
        <v>0</v>
      </c>
      <c r="AU61" s="117">
        <v>0</v>
      </c>
      <c r="AV61" s="117">
        <v>0</v>
      </c>
      <c r="AW61" s="117">
        <v>0</v>
      </c>
      <c r="AX61" s="117">
        <v>0</v>
      </c>
      <c r="AY61" s="117">
        <v>0</v>
      </c>
      <c r="AZ61" s="117">
        <v>0</v>
      </c>
      <c r="BA61" s="117">
        <v>0</v>
      </c>
    </row>
    <row r="62" spans="1:53" s="138" customFormat="1" outlineLevel="2" x14ac:dyDescent="0.25">
      <c r="A62" s="138" t="s">
        <v>313</v>
      </c>
      <c r="B62" s="139" t="s">
        <v>314</v>
      </c>
      <c r="C62" s="140" t="s">
        <v>315</v>
      </c>
      <c r="D62" s="141"/>
      <c r="E62" s="142"/>
      <c r="F62" s="143">
        <v>1.24</v>
      </c>
      <c r="G62" s="143">
        <v>4492.8</v>
      </c>
      <c r="H62" s="144">
        <f t="shared" si="4"/>
        <v>-4491.5600000000004</v>
      </c>
      <c r="I62" s="145">
        <f t="shared" si="5"/>
        <v>-0.99972400284900287</v>
      </c>
      <c r="J62" s="146"/>
      <c r="K62" s="143">
        <v>-48393.1</v>
      </c>
      <c r="L62" s="143">
        <v>4496.83</v>
      </c>
      <c r="M62" s="144"/>
      <c r="N62" s="145"/>
      <c r="O62" s="147"/>
      <c r="P62" s="146"/>
      <c r="Q62" s="143">
        <v>-48382.369999999995</v>
      </c>
      <c r="R62" s="143">
        <v>4628.3099999999995</v>
      </c>
      <c r="S62" s="144"/>
      <c r="T62" s="145"/>
      <c r="U62" s="146"/>
      <c r="V62" s="143">
        <v>31533.269999999997</v>
      </c>
      <c r="W62" s="143">
        <v>245672.94</v>
      </c>
      <c r="X62" s="144">
        <f t="shared" si="6"/>
        <v>-214139.67</v>
      </c>
      <c r="Y62" s="145">
        <f t="shared" si="7"/>
        <v>-0.87164532650604498</v>
      </c>
      <c r="Z62" s="148"/>
      <c r="AA62" s="149">
        <v>131.47999999999999</v>
      </c>
      <c r="AB62" s="150"/>
      <c r="AC62" s="117">
        <v>4.03</v>
      </c>
      <c r="AD62" s="117">
        <v>4492.8</v>
      </c>
      <c r="AE62" s="117">
        <v>4.17</v>
      </c>
      <c r="AF62" s="117">
        <v>54.53</v>
      </c>
      <c r="AG62" s="117">
        <v>22.86</v>
      </c>
      <c r="AH62" s="117">
        <v>16.010000000000002</v>
      </c>
      <c r="AI62" s="117">
        <v>2266.9</v>
      </c>
      <c r="AJ62" s="117">
        <v>51918.71</v>
      </c>
      <c r="AK62" s="117">
        <v>25484.3</v>
      </c>
      <c r="AL62" s="117">
        <v>8.32</v>
      </c>
      <c r="AM62" s="117">
        <v>139.84</v>
      </c>
      <c r="AN62" s="117">
        <v>10.73</v>
      </c>
      <c r="AO62" s="150"/>
      <c r="AP62" s="117">
        <v>-48394.340000000004</v>
      </c>
      <c r="AQ62" s="117">
        <v>1.24</v>
      </c>
      <c r="AR62" s="117">
        <v>0</v>
      </c>
      <c r="AS62" s="117">
        <v>0</v>
      </c>
      <c r="AT62" s="117">
        <v>0</v>
      </c>
      <c r="AU62" s="117">
        <v>0</v>
      </c>
      <c r="AV62" s="117">
        <v>0</v>
      </c>
      <c r="AW62" s="117">
        <v>0</v>
      </c>
      <c r="AX62" s="117">
        <v>0</v>
      </c>
      <c r="AY62" s="117">
        <v>0</v>
      </c>
      <c r="AZ62" s="117">
        <v>0</v>
      </c>
      <c r="BA62" s="117">
        <v>0</v>
      </c>
    </row>
    <row r="63" spans="1:53" s="138" customFormat="1" outlineLevel="2" x14ac:dyDescent="0.25">
      <c r="A63" s="138" t="s">
        <v>316</v>
      </c>
      <c r="B63" s="139" t="s">
        <v>317</v>
      </c>
      <c r="C63" s="140" t="s">
        <v>318</v>
      </c>
      <c r="D63" s="141"/>
      <c r="E63" s="142"/>
      <c r="F63" s="143">
        <v>2757.37</v>
      </c>
      <c r="G63" s="143">
        <v>-3760.39</v>
      </c>
      <c r="H63" s="144">
        <f t="shared" si="4"/>
        <v>6517.76</v>
      </c>
      <c r="I63" s="145">
        <f t="shared" si="5"/>
        <v>1.7332670281539948</v>
      </c>
      <c r="J63" s="146"/>
      <c r="K63" s="143">
        <v>2757.37</v>
      </c>
      <c r="L63" s="143">
        <v>-3763.84</v>
      </c>
      <c r="M63" s="144"/>
      <c r="N63" s="145"/>
      <c r="O63" s="147"/>
      <c r="P63" s="146"/>
      <c r="Q63" s="143">
        <v>2756.0299999999997</v>
      </c>
      <c r="R63" s="143">
        <v>-3201.9500000000003</v>
      </c>
      <c r="S63" s="144"/>
      <c r="T63" s="145"/>
      <c r="U63" s="146"/>
      <c r="V63" s="143">
        <v>-21805.09</v>
      </c>
      <c r="W63" s="143">
        <v>-134102.08000000002</v>
      </c>
      <c r="X63" s="144">
        <f t="shared" si="6"/>
        <v>112296.99000000002</v>
      </c>
      <c r="Y63" s="145">
        <f t="shared" si="7"/>
        <v>0.8373993155065157</v>
      </c>
      <c r="Z63" s="148"/>
      <c r="AA63" s="149">
        <v>561.89</v>
      </c>
      <c r="AB63" s="150"/>
      <c r="AC63" s="117">
        <v>-3.45</v>
      </c>
      <c r="AD63" s="117">
        <v>-3760.39</v>
      </c>
      <c r="AE63" s="117">
        <v>50.32</v>
      </c>
      <c r="AF63" s="117">
        <v>-34.61</v>
      </c>
      <c r="AG63" s="117">
        <v>35.33</v>
      </c>
      <c r="AH63" s="117">
        <v>-2.65</v>
      </c>
      <c r="AI63" s="117">
        <v>0</v>
      </c>
      <c r="AJ63" s="117">
        <v>-24632.83</v>
      </c>
      <c r="AK63" s="117">
        <v>-3.59</v>
      </c>
      <c r="AL63" s="117">
        <v>76.78</v>
      </c>
      <c r="AM63" s="117">
        <v>-49.870000000000005</v>
      </c>
      <c r="AN63" s="117">
        <v>-1.34</v>
      </c>
      <c r="AO63" s="150"/>
      <c r="AP63" s="117">
        <v>0</v>
      </c>
      <c r="AQ63" s="117">
        <v>2757.37</v>
      </c>
      <c r="AR63" s="117">
        <v>0</v>
      </c>
      <c r="AS63" s="117">
        <v>0</v>
      </c>
      <c r="AT63" s="117">
        <v>0</v>
      </c>
      <c r="AU63" s="117">
        <v>0</v>
      </c>
      <c r="AV63" s="117">
        <v>0</v>
      </c>
      <c r="AW63" s="117">
        <v>0</v>
      </c>
      <c r="AX63" s="117">
        <v>0</v>
      </c>
      <c r="AY63" s="117">
        <v>0</v>
      </c>
      <c r="AZ63" s="117">
        <v>0</v>
      </c>
      <c r="BA63" s="117">
        <v>0</v>
      </c>
    </row>
    <row r="64" spans="1:53" s="138" customFormat="1" outlineLevel="2" x14ac:dyDescent="0.25">
      <c r="A64" s="138" t="s">
        <v>319</v>
      </c>
      <c r="B64" s="139" t="s">
        <v>320</v>
      </c>
      <c r="C64" s="140" t="s">
        <v>321</v>
      </c>
      <c r="D64" s="141"/>
      <c r="E64" s="142"/>
      <c r="F64" s="143">
        <v>1025.0999999999999</v>
      </c>
      <c r="G64" s="143">
        <v>0</v>
      </c>
      <c r="H64" s="144">
        <f t="shared" si="4"/>
        <v>1025.0999999999999</v>
      </c>
      <c r="I64" s="145" t="str">
        <f t="shared" si="5"/>
        <v>N.M.</v>
      </c>
      <c r="J64" s="146"/>
      <c r="K64" s="143">
        <v>-19863.46</v>
      </c>
      <c r="L64" s="143">
        <v>0</v>
      </c>
      <c r="M64" s="144"/>
      <c r="N64" s="145"/>
      <c r="O64" s="147"/>
      <c r="P64" s="146"/>
      <c r="Q64" s="143">
        <v>-17240.54</v>
      </c>
      <c r="R64" s="143">
        <v>1245.23</v>
      </c>
      <c r="S64" s="144"/>
      <c r="T64" s="145"/>
      <c r="U64" s="146"/>
      <c r="V64" s="143">
        <v>72078.91</v>
      </c>
      <c r="W64" s="143">
        <v>328576.72000000003</v>
      </c>
      <c r="X64" s="144">
        <f t="shared" si="6"/>
        <v>-256497.81000000003</v>
      </c>
      <c r="Y64" s="145">
        <f t="shared" si="7"/>
        <v>-0.78063293711130843</v>
      </c>
      <c r="Z64" s="148"/>
      <c r="AA64" s="149">
        <v>1245.23</v>
      </c>
      <c r="AB64" s="150"/>
      <c r="AC64" s="117">
        <v>0</v>
      </c>
      <c r="AD64" s="117">
        <v>0</v>
      </c>
      <c r="AE64" s="117">
        <v>1743.26</v>
      </c>
      <c r="AF64" s="117">
        <v>-22.52</v>
      </c>
      <c r="AG64" s="117">
        <v>4787.6099999999997</v>
      </c>
      <c r="AH64" s="117">
        <v>75.570000000000007</v>
      </c>
      <c r="AI64" s="117">
        <v>14554.09</v>
      </c>
      <c r="AJ64" s="117">
        <v>13446.61</v>
      </c>
      <c r="AK64" s="117">
        <v>14955.24</v>
      </c>
      <c r="AL64" s="117">
        <v>3562.84</v>
      </c>
      <c r="AM64" s="117">
        <v>36216.75</v>
      </c>
      <c r="AN64" s="117">
        <v>2622.92</v>
      </c>
      <c r="AO64" s="150"/>
      <c r="AP64" s="117">
        <v>-20888.560000000001</v>
      </c>
      <c r="AQ64" s="117">
        <v>1025.0999999999999</v>
      </c>
      <c r="AR64" s="117">
        <v>0</v>
      </c>
      <c r="AS64" s="117">
        <v>0</v>
      </c>
      <c r="AT64" s="117">
        <v>0</v>
      </c>
      <c r="AU64" s="117">
        <v>0</v>
      </c>
      <c r="AV64" s="117">
        <v>0</v>
      </c>
      <c r="AW64" s="117">
        <v>0</v>
      </c>
      <c r="AX64" s="117">
        <v>0</v>
      </c>
      <c r="AY64" s="117">
        <v>0</v>
      </c>
      <c r="AZ64" s="117">
        <v>0</v>
      </c>
      <c r="BA64" s="117">
        <v>0</v>
      </c>
    </row>
    <row r="65" spans="1:53" s="138" customFormat="1" outlineLevel="2" x14ac:dyDescent="0.25">
      <c r="A65" s="138" t="s">
        <v>322</v>
      </c>
      <c r="B65" s="139" t="s">
        <v>323</v>
      </c>
      <c r="C65" s="140" t="s">
        <v>324</v>
      </c>
      <c r="D65" s="141"/>
      <c r="E65" s="142"/>
      <c r="F65" s="143">
        <v>0</v>
      </c>
      <c r="G65" s="143">
        <v>701.74</v>
      </c>
      <c r="H65" s="144">
        <f t="shared" si="4"/>
        <v>-701.74</v>
      </c>
      <c r="I65" s="145" t="str">
        <f t="shared" si="5"/>
        <v>N.M.</v>
      </c>
      <c r="J65" s="146"/>
      <c r="K65" s="143">
        <v>-3594.14</v>
      </c>
      <c r="L65" s="143">
        <v>1030.3600000000001</v>
      </c>
      <c r="M65" s="144"/>
      <c r="N65" s="145"/>
      <c r="O65" s="147"/>
      <c r="P65" s="146"/>
      <c r="Q65" s="143">
        <v>-3388.87</v>
      </c>
      <c r="R65" s="143">
        <v>3883.6000000000004</v>
      </c>
      <c r="S65" s="144"/>
      <c r="T65" s="145"/>
      <c r="U65" s="146"/>
      <c r="V65" s="143">
        <v>4283.7700000000004</v>
      </c>
      <c r="W65" s="143">
        <v>148227.81</v>
      </c>
      <c r="X65" s="144">
        <f t="shared" si="6"/>
        <v>-143944.04</v>
      </c>
      <c r="Y65" s="145">
        <f t="shared" si="7"/>
        <v>-0.9711000924860187</v>
      </c>
      <c r="Z65" s="148"/>
      <c r="AA65" s="149">
        <v>2853.2400000000002</v>
      </c>
      <c r="AB65" s="150"/>
      <c r="AC65" s="117">
        <v>328.62</v>
      </c>
      <c r="AD65" s="117">
        <v>701.74</v>
      </c>
      <c r="AE65" s="117">
        <v>517.68000000000006</v>
      </c>
      <c r="AF65" s="117">
        <v>26.18</v>
      </c>
      <c r="AG65" s="117">
        <v>811.95</v>
      </c>
      <c r="AH65" s="117">
        <v>1479.53</v>
      </c>
      <c r="AI65" s="117">
        <v>2520.39</v>
      </c>
      <c r="AJ65" s="117">
        <v>1196.47</v>
      </c>
      <c r="AK65" s="117">
        <v>422.24</v>
      </c>
      <c r="AL65" s="117">
        <v>275.17</v>
      </c>
      <c r="AM65" s="117">
        <v>423.03000000000003</v>
      </c>
      <c r="AN65" s="117">
        <v>205.27</v>
      </c>
      <c r="AO65" s="150"/>
      <c r="AP65" s="117">
        <v>-3594.14</v>
      </c>
      <c r="AQ65" s="117">
        <v>0</v>
      </c>
      <c r="AR65" s="117">
        <v>0</v>
      </c>
      <c r="AS65" s="117">
        <v>0</v>
      </c>
      <c r="AT65" s="117">
        <v>0</v>
      </c>
      <c r="AU65" s="117">
        <v>0</v>
      </c>
      <c r="AV65" s="117">
        <v>0</v>
      </c>
      <c r="AW65" s="117">
        <v>0</v>
      </c>
      <c r="AX65" s="117">
        <v>0</v>
      </c>
      <c r="AY65" s="117">
        <v>0</v>
      </c>
      <c r="AZ65" s="117">
        <v>0</v>
      </c>
      <c r="BA65" s="117">
        <v>0</v>
      </c>
    </row>
    <row r="66" spans="1:53" s="138" customFormat="1" outlineLevel="2" x14ac:dyDescent="0.25">
      <c r="A66" s="138" t="s">
        <v>325</v>
      </c>
      <c r="B66" s="139" t="s">
        <v>326</v>
      </c>
      <c r="C66" s="140" t="s">
        <v>327</v>
      </c>
      <c r="D66" s="141"/>
      <c r="E66" s="142"/>
      <c r="F66" s="143">
        <v>27448.12</v>
      </c>
      <c r="G66" s="143">
        <v>27448.21</v>
      </c>
      <c r="H66" s="144">
        <f t="shared" si="4"/>
        <v>-9.0000000000145519E-2</v>
      </c>
      <c r="I66" s="145">
        <f t="shared" si="5"/>
        <v>-3.2789023400850371E-6</v>
      </c>
      <c r="J66" s="146"/>
      <c r="K66" s="143">
        <v>-301929.03000000003</v>
      </c>
      <c r="L66" s="143">
        <v>54896.23</v>
      </c>
      <c r="M66" s="144"/>
      <c r="N66" s="145"/>
      <c r="O66" s="147"/>
      <c r="P66" s="146"/>
      <c r="Q66" s="143">
        <v>-274481.01</v>
      </c>
      <c r="R66" s="143">
        <v>82344.25</v>
      </c>
      <c r="S66" s="144"/>
      <c r="T66" s="145"/>
      <c r="U66" s="146"/>
      <c r="V66" s="143">
        <v>-27448.110000000044</v>
      </c>
      <c r="W66" s="143">
        <v>236215.67</v>
      </c>
      <c r="X66" s="144">
        <f t="shared" si="6"/>
        <v>-263663.78000000003</v>
      </c>
      <c r="Y66" s="145">
        <f t="shared" si="7"/>
        <v>-1.1161993613717498</v>
      </c>
      <c r="Z66" s="148"/>
      <c r="AA66" s="149">
        <v>27448.02</v>
      </c>
      <c r="AB66" s="150"/>
      <c r="AC66" s="117">
        <v>27448.02</v>
      </c>
      <c r="AD66" s="117">
        <v>27448.21</v>
      </c>
      <c r="AE66" s="117">
        <v>27448.02</v>
      </c>
      <c r="AF66" s="117">
        <v>27448.2</v>
      </c>
      <c r="AG66" s="117">
        <v>27448.02</v>
      </c>
      <c r="AH66" s="117">
        <v>27448.2</v>
      </c>
      <c r="AI66" s="117">
        <v>27448.02</v>
      </c>
      <c r="AJ66" s="117">
        <v>27448.02</v>
      </c>
      <c r="AK66" s="117">
        <v>27448.2</v>
      </c>
      <c r="AL66" s="117">
        <v>27448.02</v>
      </c>
      <c r="AM66" s="117">
        <v>27448.2</v>
      </c>
      <c r="AN66" s="117">
        <v>27448.02</v>
      </c>
      <c r="AO66" s="150"/>
      <c r="AP66" s="117">
        <v>-329377.15000000002</v>
      </c>
      <c r="AQ66" s="117">
        <v>27448.12</v>
      </c>
      <c r="AR66" s="117">
        <v>0</v>
      </c>
      <c r="AS66" s="117">
        <v>0</v>
      </c>
      <c r="AT66" s="117">
        <v>0</v>
      </c>
      <c r="AU66" s="117">
        <v>0</v>
      </c>
      <c r="AV66" s="117">
        <v>0</v>
      </c>
      <c r="AW66" s="117">
        <v>0</v>
      </c>
      <c r="AX66" s="117">
        <v>0</v>
      </c>
      <c r="AY66" s="117">
        <v>0</v>
      </c>
      <c r="AZ66" s="117">
        <v>0</v>
      </c>
      <c r="BA66" s="117">
        <v>0</v>
      </c>
    </row>
    <row r="67" spans="1:53" s="211" customFormat="1" outlineLevel="1" x14ac:dyDescent="0.25">
      <c r="A67" s="211" t="s">
        <v>328</v>
      </c>
      <c r="B67" s="212"/>
      <c r="C67" s="213" t="s">
        <v>329</v>
      </c>
      <c r="D67" s="229"/>
      <c r="E67" s="229"/>
      <c r="F67" s="215">
        <v>1636427.6300000001</v>
      </c>
      <c r="G67" s="215">
        <v>1424786.584</v>
      </c>
      <c r="H67" s="236">
        <f t="shared" si="4"/>
        <v>211641.04600000009</v>
      </c>
      <c r="I67" s="237">
        <f t="shared" si="5"/>
        <v>0.14854227880629742</v>
      </c>
      <c r="J67" s="231"/>
      <c r="K67" s="215">
        <v>3928523.4400000004</v>
      </c>
      <c r="L67" s="215">
        <v>3128532.3540000007</v>
      </c>
      <c r="M67" s="215"/>
      <c r="N67" s="232"/>
      <c r="O67" s="233"/>
      <c r="P67" s="233"/>
      <c r="Q67" s="215">
        <v>9771175.4799999967</v>
      </c>
      <c r="R67" s="215">
        <v>4481609.6040000021</v>
      </c>
      <c r="S67" s="215"/>
      <c r="T67" s="230"/>
      <c r="U67" s="233"/>
      <c r="V67" s="215">
        <v>52045999.079999991</v>
      </c>
      <c r="W67" s="215">
        <v>63565214.495000005</v>
      </c>
      <c r="X67" s="236">
        <f t="shared" si="6"/>
        <v>-11519215.415000014</v>
      </c>
      <c r="Y67" s="232">
        <f t="shared" si="7"/>
        <v>-0.18121885541511243</v>
      </c>
      <c r="AA67" s="215">
        <v>1353077.2500000002</v>
      </c>
      <c r="AB67" s="235"/>
      <c r="AC67" s="215">
        <v>1703745.7700000007</v>
      </c>
      <c r="AD67" s="215">
        <v>1424786.584</v>
      </c>
      <c r="AE67" s="215">
        <v>1727488.27</v>
      </c>
      <c r="AF67" s="215">
        <v>1564270.43</v>
      </c>
      <c r="AG67" s="215">
        <v>1118908.1800000002</v>
      </c>
      <c r="AH67" s="215">
        <v>6047006.4700000007</v>
      </c>
      <c r="AI67" s="215">
        <v>8741737.089999998</v>
      </c>
      <c r="AJ67" s="215">
        <v>8073422.0399999982</v>
      </c>
      <c r="AK67" s="215">
        <v>2396136.9700000007</v>
      </c>
      <c r="AL67" s="215">
        <v>3059497.7199999993</v>
      </c>
      <c r="AM67" s="215">
        <v>9546356.4300000034</v>
      </c>
      <c r="AN67" s="215">
        <v>5842652.0399999991</v>
      </c>
      <c r="AO67" s="235"/>
      <c r="AP67" s="215">
        <v>2292095.81</v>
      </c>
      <c r="AQ67" s="215">
        <v>1636427.6300000001</v>
      </c>
      <c r="AR67" s="215">
        <v>62197576.579999991</v>
      </c>
      <c r="AS67" s="215">
        <v>0</v>
      </c>
      <c r="AT67" s="215">
        <v>0</v>
      </c>
      <c r="AU67" s="215">
        <v>0</v>
      </c>
      <c r="AV67" s="215">
        <v>0</v>
      </c>
      <c r="AW67" s="215">
        <v>0</v>
      </c>
      <c r="AX67" s="215">
        <v>0</v>
      </c>
      <c r="AY67" s="215">
        <v>0</v>
      </c>
      <c r="AZ67" s="215">
        <v>0</v>
      </c>
      <c r="BA67" s="215">
        <v>0</v>
      </c>
    </row>
    <row r="68" spans="1:53" s="211" customFormat="1" ht="0.75" customHeight="1" outlineLevel="2" x14ac:dyDescent="0.25">
      <c r="B68" s="212"/>
      <c r="C68" s="238" t="s">
        <v>330</v>
      </c>
      <c r="D68" s="229"/>
      <c r="E68" s="229"/>
      <c r="F68" s="215" t="e">
        <f>+F67+F27+#REF!+F23</f>
        <v>#REF!</v>
      </c>
      <c r="G68" s="215" t="e">
        <f>+G67+G27+#REF!+G23</f>
        <v>#REF!</v>
      </c>
      <c r="H68" s="236" t="e">
        <f t="shared" si="4"/>
        <v>#REF!</v>
      </c>
      <c r="I68" s="237" t="e">
        <f t="shared" si="5"/>
        <v>#REF!</v>
      </c>
      <c r="J68" s="231"/>
      <c r="K68" s="215" t="e">
        <f>+K67+K27+#REF!+K23</f>
        <v>#REF!</v>
      </c>
      <c r="L68" s="215" t="e">
        <f>+L67+L27+#REF!+L23</f>
        <v>#REF!</v>
      </c>
      <c r="M68" s="236" t="e">
        <f>+K68-L68</f>
        <v>#REF!</v>
      </c>
      <c r="N68" s="232" t="e">
        <f>IF(L68&lt;0,IF(M68=0,0,IF(OR(L68=0,K68=0),"N.M.",IF(ABS(M68/L68)&gt;=10,"N.M.",M68/(-L68)))),IF(M68=0,0,IF(OR(L68=0,K68=0),"N.M.",IF(ABS(M68/L68)&gt;=10,"N.M.",M68/L68))))</f>
        <v>#REF!</v>
      </c>
      <c r="O68" s="233"/>
      <c r="P68" s="233"/>
      <c r="Q68" s="215" t="e">
        <f>+Q67+Q27+#REF!+Q23</f>
        <v>#REF!</v>
      </c>
      <c r="R68" s="215" t="e">
        <f>+R67+R27+#REF!+R23</f>
        <v>#REF!</v>
      </c>
      <c r="S68" s="236" t="e">
        <f>+Q68-R68</f>
        <v>#REF!</v>
      </c>
      <c r="T68" s="237" t="e">
        <f>IF(R68&lt;0,IF(S68=0,0,IF(OR(R68=0,Q68=0),"N.M.",IF(ABS(S68/R68)&gt;=10,"N.M.",S68/(-R68)))),IF(S68=0,0,IF(OR(R68=0,Q68=0),"N.M.",IF(ABS(S68/R68)&gt;=10,"N.M.",S68/R68))))</f>
        <v>#REF!</v>
      </c>
      <c r="U68" s="233"/>
      <c r="V68" s="215" t="e">
        <f>+V67+V27+#REF!+V23</f>
        <v>#REF!</v>
      </c>
      <c r="W68" s="215" t="e">
        <f>+W67+W27+#REF!+W23</f>
        <v>#REF!</v>
      </c>
      <c r="X68" s="236" t="e">
        <f t="shared" si="6"/>
        <v>#REF!</v>
      </c>
      <c r="Y68" s="232" t="e">
        <f t="shared" si="7"/>
        <v>#REF!</v>
      </c>
      <c r="AA68" s="215" t="e">
        <f>+AA67+AA27+#REF!+AA23</f>
        <v>#REF!</v>
      </c>
      <c r="AB68" s="235"/>
      <c r="AC68" s="215" t="e">
        <f>+AC67+AC27+#REF!+AC23</f>
        <v>#REF!</v>
      </c>
      <c r="AD68" s="215" t="e">
        <f>+AD67+AD27+#REF!+AD23</f>
        <v>#REF!</v>
      </c>
      <c r="AE68" s="215" t="e">
        <f>+AE67+AE27+#REF!+AE23</f>
        <v>#REF!</v>
      </c>
      <c r="AF68" s="215" t="e">
        <f>+AF67+AF27+#REF!+AF23</f>
        <v>#REF!</v>
      </c>
      <c r="AG68" s="215" t="e">
        <f>+AG67+AG27+#REF!+AG23</f>
        <v>#REF!</v>
      </c>
      <c r="AH68" s="215" t="e">
        <f>+AH67+AH27+#REF!+AH23</f>
        <v>#REF!</v>
      </c>
      <c r="AI68" s="215" t="e">
        <f>+AI67+AI27+#REF!+AI23</f>
        <v>#REF!</v>
      </c>
      <c r="AJ68" s="215" t="e">
        <f>+AJ67+AJ27+#REF!+AJ23</f>
        <v>#REF!</v>
      </c>
      <c r="AK68" s="215" t="e">
        <f>+AK67+AK27+#REF!+AK23</f>
        <v>#REF!</v>
      </c>
      <c r="AL68" s="215" t="e">
        <f>+AL67+AL27+#REF!+AL23</f>
        <v>#REF!</v>
      </c>
      <c r="AM68" s="215" t="e">
        <f>+AM67+AM27+#REF!+AM23</f>
        <v>#REF!</v>
      </c>
      <c r="AN68" s="215" t="e">
        <f>+AN67+AN27+#REF!+AN23</f>
        <v>#REF!</v>
      </c>
      <c r="AO68" s="235"/>
      <c r="AP68" s="215" t="e">
        <f>+AP67+AP27+#REF!+AP23</f>
        <v>#REF!</v>
      </c>
      <c r="AQ68" s="215" t="e">
        <f>+AQ67+AQ27+#REF!+AQ23</f>
        <v>#REF!</v>
      </c>
      <c r="AR68" s="215" t="e">
        <f>+AR67+AR27+#REF!+AR23</f>
        <v>#REF!</v>
      </c>
      <c r="AS68" s="215" t="e">
        <f>+AS67+AS27+#REF!+AS23</f>
        <v>#REF!</v>
      </c>
      <c r="AT68" s="215" t="e">
        <f>+AT67+AT27+#REF!+AT23</f>
        <v>#REF!</v>
      </c>
      <c r="AU68" s="215" t="e">
        <f>+AU67+AU27+#REF!+AU23</f>
        <v>#REF!</v>
      </c>
      <c r="AV68" s="215" t="e">
        <f>+AV67+AV27+#REF!+AV23</f>
        <v>#REF!</v>
      </c>
      <c r="AW68" s="215" t="e">
        <f>+AW67+AW27+#REF!+AW23</f>
        <v>#REF!</v>
      </c>
      <c r="AX68" s="215" t="e">
        <f>+AX67+AX27+#REF!+AX23</f>
        <v>#REF!</v>
      </c>
      <c r="AY68" s="215" t="e">
        <f>+AY67+AY27+#REF!+AY23</f>
        <v>#REF!</v>
      </c>
      <c r="AZ68" s="215" t="e">
        <f>+AZ67+AZ27+#REF!+AZ23</f>
        <v>#REF!</v>
      </c>
      <c r="BA68" s="215" t="e">
        <f>+BA67+BA27+#REF!+BA23</f>
        <v>#REF!</v>
      </c>
    </row>
    <row r="69" spans="1:53" s="138" customFormat="1" outlineLevel="2" x14ac:dyDescent="0.25">
      <c r="A69" s="138" t="s">
        <v>331</v>
      </c>
      <c r="B69" s="139" t="s">
        <v>332</v>
      </c>
      <c r="C69" s="140" t="s">
        <v>333</v>
      </c>
      <c r="D69" s="141"/>
      <c r="E69" s="142"/>
      <c r="F69" s="143">
        <v>-167147.57</v>
      </c>
      <c r="G69" s="143">
        <v>0</v>
      </c>
      <c r="H69" s="144">
        <f t="shared" si="4"/>
        <v>-167147.57</v>
      </c>
      <c r="I69" s="145" t="str">
        <f t="shared" si="5"/>
        <v>N.M.</v>
      </c>
      <c r="J69" s="146"/>
      <c r="K69" s="143">
        <v>-349310.37</v>
      </c>
      <c r="L69" s="143">
        <v>0</v>
      </c>
      <c r="M69" s="144">
        <f>+K69-L69</f>
        <v>-349310.37</v>
      </c>
      <c r="N69" s="145" t="str">
        <f>IF(L69&lt;0,IF(M69=0,0,IF(OR(L69=0,K69=0),"N.M.",IF(ABS(M69/L69)&gt;=10,"N.M.",M69/(-L69)))),IF(M69=0,0,IF(OR(L69=0,K69=0),"N.M.",IF(ABS(M69/L69)&gt;=10,"N.M.",M69/L69))))</f>
        <v>N.M.</v>
      </c>
      <c r="O69" s="147"/>
      <c r="P69" s="146"/>
      <c r="Q69" s="143">
        <v>-734285.92999999993</v>
      </c>
      <c r="R69" s="143">
        <v>0</v>
      </c>
      <c r="S69" s="144">
        <f>+Q69-R69</f>
        <v>-734285.92999999993</v>
      </c>
      <c r="T69" s="145" t="str">
        <f>IF(R69&lt;0,IF(S69=0,0,IF(OR(R69=0,Q69=0),"N.M.",IF(ABS(S69/R69)&gt;=10,"N.M.",S69/(-R69)))),IF(S69=0,0,IF(OR(R69=0,Q69=0),"N.M.",IF(ABS(S69/R69)&gt;=10,"N.M.",S69/R69))))</f>
        <v>N.M.</v>
      </c>
      <c r="U69" s="146"/>
      <c r="V69" s="143">
        <v>-760364.02</v>
      </c>
      <c r="W69" s="143">
        <v>0</v>
      </c>
      <c r="X69" s="144">
        <f t="shared" si="6"/>
        <v>-760364.02</v>
      </c>
      <c r="Y69" s="145" t="str">
        <f t="shared" si="7"/>
        <v>N.M.</v>
      </c>
      <c r="Z69" s="148"/>
      <c r="AA69" s="149">
        <v>0</v>
      </c>
      <c r="AB69" s="150"/>
      <c r="AC69" s="117">
        <v>0</v>
      </c>
      <c r="AD69" s="117">
        <v>0</v>
      </c>
      <c r="AE69" s="117">
        <v>0</v>
      </c>
      <c r="AF69" s="117">
        <v>0</v>
      </c>
      <c r="AG69" s="117">
        <v>0</v>
      </c>
      <c r="AH69" s="117">
        <v>-44705.3</v>
      </c>
      <c r="AI69" s="117">
        <v>3725.44</v>
      </c>
      <c r="AJ69" s="117">
        <v>3725.4500000000003</v>
      </c>
      <c r="AK69" s="117">
        <v>3725.4300000000003</v>
      </c>
      <c r="AL69" s="117">
        <v>3725.4500000000003</v>
      </c>
      <c r="AM69" s="117">
        <v>3725.44</v>
      </c>
      <c r="AN69" s="117">
        <v>-384975.56</v>
      </c>
      <c r="AO69" s="150"/>
      <c r="AP69" s="117">
        <v>-182162.80000000002</v>
      </c>
      <c r="AQ69" s="117">
        <v>-167147.57</v>
      </c>
      <c r="AR69" s="117">
        <v>17875.73</v>
      </c>
      <c r="AS69" s="117">
        <v>0</v>
      </c>
      <c r="AT69" s="117">
        <v>0</v>
      </c>
      <c r="AU69" s="117">
        <v>0</v>
      </c>
      <c r="AV69" s="117">
        <v>0</v>
      </c>
      <c r="AW69" s="117">
        <v>0</v>
      </c>
      <c r="AX69" s="117">
        <v>0</v>
      </c>
      <c r="AY69" s="117">
        <v>0</v>
      </c>
      <c r="AZ69" s="117">
        <v>0</v>
      </c>
      <c r="BA69" s="117">
        <v>0</v>
      </c>
    </row>
    <row r="70" spans="1:53" s="138" customFormat="1" outlineLevel="2" x14ac:dyDescent="0.25">
      <c r="A70" s="138" t="s">
        <v>334</v>
      </c>
      <c r="B70" s="139" t="s">
        <v>335</v>
      </c>
      <c r="C70" s="140" t="s">
        <v>336</v>
      </c>
      <c r="D70" s="141"/>
      <c r="E70" s="142"/>
      <c r="F70" s="143">
        <v>9222.7800000000007</v>
      </c>
      <c r="G70" s="143">
        <v>0</v>
      </c>
      <c r="H70" s="144">
        <f t="shared" si="4"/>
        <v>9222.7800000000007</v>
      </c>
      <c r="I70" s="145" t="str">
        <f t="shared" si="5"/>
        <v>N.M.</v>
      </c>
      <c r="J70" s="146"/>
      <c r="K70" s="143">
        <v>18253.5</v>
      </c>
      <c r="L70" s="143">
        <v>0</v>
      </c>
      <c r="M70" s="144">
        <f>+K70-L70</f>
        <v>18253.5</v>
      </c>
      <c r="N70" s="145" t="str">
        <f>IF(L70&lt;0,IF(M70=0,0,IF(OR(L70=0,K70=0),"N.M.",IF(ABS(M70/L70)&gt;=10,"N.M.",M70/(-L70)))),IF(M70=0,0,IF(OR(L70=0,K70=0),"N.M.",IF(ABS(M70/L70)&gt;=10,"N.M.",M70/L70))))</f>
        <v>N.M.</v>
      </c>
      <c r="O70" s="147"/>
      <c r="P70" s="146"/>
      <c r="Q70" s="143">
        <v>27284.21</v>
      </c>
      <c r="R70" s="143">
        <v>0</v>
      </c>
      <c r="S70" s="144">
        <f>+Q70-R70</f>
        <v>27284.21</v>
      </c>
      <c r="T70" s="145" t="str">
        <f>IF(R70&lt;0,IF(S70=0,0,IF(OR(R70=0,Q70=0),"N.M.",IF(ABS(S70/R70)&gt;=10,"N.M.",S70/(-R70)))),IF(S70=0,0,IF(OR(R70=0,Q70=0),"N.M.",IF(ABS(S70/R70)&gt;=10,"N.M.",S70/R70))))</f>
        <v>N.M.</v>
      </c>
      <c r="U70" s="146"/>
      <c r="V70" s="143">
        <v>-35930.78</v>
      </c>
      <c r="W70" s="143">
        <v>0</v>
      </c>
      <c r="X70" s="144">
        <f t="shared" si="6"/>
        <v>-35930.78</v>
      </c>
      <c r="Y70" s="145" t="str">
        <f t="shared" si="7"/>
        <v>N.M.</v>
      </c>
      <c r="Z70" s="148"/>
      <c r="AA70" s="149">
        <v>0</v>
      </c>
      <c r="AB70" s="150"/>
      <c r="AC70" s="117">
        <v>0</v>
      </c>
      <c r="AD70" s="117">
        <v>0</v>
      </c>
      <c r="AE70" s="117">
        <v>0</v>
      </c>
      <c r="AF70" s="117">
        <v>0</v>
      </c>
      <c r="AG70" s="117">
        <v>0</v>
      </c>
      <c r="AH70" s="117">
        <v>-108368.55</v>
      </c>
      <c r="AI70" s="117">
        <v>9030.7100000000009</v>
      </c>
      <c r="AJ70" s="117">
        <v>9030.7100000000009</v>
      </c>
      <c r="AK70" s="117">
        <v>9030.7199999999993</v>
      </c>
      <c r="AL70" s="117">
        <v>9030.7100000000009</v>
      </c>
      <c r="AM70" s="117">
        <v>9030.7100000000009</v>
      </c>
      <c r="AN70" s="117">
        <v>9030.7100000000009</v>
      </c>
      <c r="AO70" s="150"/>
      <c r="AP70" s="117">
        <v>9030.7199999999993</v>
      </c>
      <c r="AQ70" s="117">
        <v>9222.7800000000007</v>
      </c>
      <c r="AR70" s="117">
        <v>35930.78</v>
      </c>
      <c r="AS70" s="117">
        <v>0</v>
      </c>
      <c r="AT70" s="117">
        <v>0</v>
      </c>
      <c r="AU70" s="117">
        <v>0</v>
      </c>
      <c r="AV70" s="117">
        <v>0</v>
      </c>
      <c r="AW70" s="117">
        <v>0</v>
      </c>
      <c r="AX70" s="117">
        <v>0</v>
      </c>
      <c r="AY70" s="117">
        <v>0</v>
      </c>
      <c r="AZ70" s="117">
        <v>0</v>
      </c>
      <c r="BA70" s="117">
        <v>0</v>
      </c>
    </row>
    <row r="71" spans="1:53" s="138" customFormat="1" outlineLevel="2" x14ac:dyDescent="0.25">
      <c r="A71" s="138" t="s">
        <v>337</v>
      </c>
      <c r="B71" s="139" t="s">
        <v>338</v>
      </c>
      <c r="C71" s="140" t="s">
        <v>339</v>
      </c>
      <c r="D71" s="141"/>
      <c r="E71" s="142"/>
      <c r="F71" s="143">
        <v>79987.570000000007</v>
      </c>
      <c r="G71" s="143">
        <v>0</v>
      </c>
      <c r="H71" s="144">
        <f t="shared" si="4"/>
        <v>79987.570000000007</v>
      </c>
      <c r="I71" s="145" t="str">
        <f t="shared" si="5"/>
        <v>N.M.</v>
      </c>
      <c r="J71" s="146"/>
      <c r="K71" s="143">
        <v>157193.24</v>
      </c>
      <c r="L71" s="143">
        <v>0</v>
      </c>
      <c r="M71" s="144">
        <f>+K71-L71</f>
        <v>157193.24</v>
      </c>
      <c r="N71" s="145" t="str">
        <f>IF(L71&lt;0,IF(M71=0,0,IF(OR(L71=0,K71=0),"N.M.",IF(ABS(M71/L71)&gt;=10,"N.M.",M71/(-L71)))),IF(M71=0,0,IF(OR(L71=0,K71=0),"N.M.",IF(ABS(M71/L71)&gt;=10,"N.M.",M71/L71))))</f>
        <v>N.M.</v>
      </c>
      <c r="O71" s="147"/>
      <c r="P71" s="146"/>
      <c r="Q71" s="143">
        <v>234398.91999999998</v>
      </c>
      <c r="R71" s="143">
        <v>0</v>
      </c>
      <c r="S71" s="144">
        <f>+Q71-R71</f>
        <v>234398.91999999998</v>
      </c>
      <c r="T71" s="145" t="str">
        <f>IF(R71&lt;0,IF(S71=0,0,IF(OR(R71=0,Q71=0),"N.M.",IF(ABS(S71/R71)&gt;=10,"N.M.",S71/(-R71)))),IF(S71=0,0,IF(OR(R71=0,Q71=0),"N.M.",IF(ABS(S71/R71)&gt;=10,"N.M.",S71/R71))))</f>
        <v>N.M.</v>
      </c>
      <c r="U71" s="146"/>
      <c r="V71" s="143">
        <v>-306040.83</v>
      </c>
      <c r="W71" s="143">
        <v>0</v>
      </c>
      <c r="X71" s="144">
        <f t="shared" si="6"/>
        <v>-306040.83</v>
      </c>
      <c r="Y71" s="145" t="str">
        <f t="shared" si="7"/>
        <v>N.M.</v>
      </c>
      <c r="Z71" s="148"/>
      <c r="AA71" s="149">
        <v>0</v>
      </c>
      <c r="AB71" s="150"/>
      <c r="AC71" s="117">
        <v>0</v>
      </c>
      <c r="AD71" s="117">
        <v>0</v>
      </c>
      <c r="AE71" s="117">
        <v>0</v>
      </c>
      <c r="AF71" s="117">
        <v>0</v>
      </c>
      <c r="AG71" s="117">
        <v>0</v>
      </c>
      <c r="AH71" s="117">
        <v>-926468.15</v>
      </c>
      <c r="AI71" s="117">
        <v>77205.680000000008</v>
      </c>
      <c r="AJ71" s="117">
        <v>77205.680000000008</v>
      </c>
      <c r="AK71" s="117">
        <v>77202.400000000009</v>
      </c>
      <c r="AL71" s="117">
        <v>77208.960000000006</v>
      </c>
      <c r="AM71" s="117">
        <v>77205.680000000008</v>
      </c>
      <c r="AN71" s="117">
        <v>77205.680000000008</v>
      </c>
      <c r="AO71" s="150"/>
      <c r="AP71" s="117">
        <v>77205.67</v>
      </c>
      <c r="AQ71" s="117">
        <v>79987.570000000007</v>
      </c>
      <c r="AR71" s="117">
        <v>306040.83</v>
      </c>
      <c r="AS71" s="117">
        <v>0</v>
      </c>
      <c r="AT71" s="117">
        <v>0</v>
      </c>
      <c r="AU71" s="117">
        <v>0</v>
      </c>
      <c r="AV71" s="117">
        <v>0</v>
      </c>
      <c r="AW71" s="117">
        <v>0</v>
      </c>
      <c r="AX71" s="117">
        <v>0</v>
      </c>
      <c r="AY71" s="117">
        <v>0</v>
      </c>
      <c r="AZ71" s="117">
        <v>0</v>
      </c>
      <c r="BA71" s="117">
        <v>0</v>
      </c>
    </row>
    <row r="72" spans="1:53" s="211" customFormat="1" outlineLevel="1" x14ac:dyDescent="0.25">
      <c r="A72" s="211" t="s">
        <v>340</v>
      </c>
      <c r="B72" s="212"/>
      <c r="C72" s="238" t="s">
        <v>341</v>
      </c>
      <c r="D72" s="229"/>
      <c r="E72" s="229"/>
      <c r="F72" s="215">
        <v>-77937.22</v>
      </c>
      <c r="G72" s="215">
        <v>0</v>
      </c>
      <c r="H72" s="236">
        <f t="shared" si="4"/>
        <v>-77937.22</v>
      </c>
      <c r="I72" s="237" t="str">
        <f t="shared" si="5"/>
        <v>N.M.</v>
      </c>
      <c r="J72" s="231"/>
      <c r="K72" s="215">
        <v>-173863.63</v>
      </c>
      <c r="L72" s="215">
        <v>0</v>
      </c>
      <c r="M72" s="236">
        <f>+K72-L72</f>
        <v>-173863.63</v>
      </c>
      <c r="N72" s="232" t="str">
        <f>IF(L72&lt;0,IF(M72=0,0,IF(OR(L72=0,K72=0),"N.M.",IF(ABS(M72/L72)&gt;=10,"N.M.",M72/(-L72)))),IF(M72=0,0,IF(OR(L72=0,K72=0),"N.M.",IF(ABS(M72/L72)&gt;=10,"N.M.",M72/L72))))</f>
        <v>N.M.</v>
      </c>
      <c r="O72" s="233"/>
      <c r="P72" s="233"/>
      <c r="Q72" s="215">
        <v>-472602.80000000005</v>
      </c>
      <c r="R72" s="215">
        <v>0</v>
      </c>
      <c r="S72" s="236">
        <f>+Q72-R72</f>
        <v>-472602.80000000005</v>
      </c>
      <c r="T72" s="237" t="str">
        <f>IF(R72&lt;0,IF(S72=0,0,IF(OR(R72=0,Q72=0),"N.M.",IF(ABS(S72/R72)&gt;=10,"N.M.",S72/(-R72)))),IF(S72=0,0,IF(OR(R72=0,Q72=0),"N.M.",IF(ABS(S72/R72)&gt;=10,"N.M.",S72/R72))))</f>
        <v>N.M.</v>
      </c>
      <c r="U72" s="233"/>
      <c r="V72" s="215">
        <v>-1102335.6300000001</v>
      </c>
      <c r="W72" s="215">
        <v>0</v>
      </c>
      <c r="X72" s="236">
        <f t="shared" si="6"/>
        <v>-1102335.6300000001</v>
      </c>
      <c r="Y72" s="232" t="str">
        <f t="shared" si="7"/>
        <v>N.M.</v>
      </c>
      <c r="AA72" s="215">
        <v>0</v>
      </c>
      <c r="AB72" s="235"/>
      <c r="AC72" s="215">
        <v>0</v>
      </c>
      <c r="AD72" s="215">
        <v>0</v>
      </c>
      <c r="AE72" s="215">
        <v>0</v>
      </c>
      <c r="AF72" s="215">
        <v>0</v>
      </c>
      <c r="AG72" s="215">
        <v>0</v>
      </c>
      <c r="AH72" s="215">
        <v>-1079542</v>
      </c>
      <c r="AI72" s="215">
        <v>89961.830000000016</v>
      </c>
      <c r="AJ72" s="215">
        <v>89961.840000000011</v>
      </c>
      <c r="AK72" s="215">
        <v>89958.55</v>
      </c>
      <c r="AL72" s="215">
        <v>89965.12000000001</v>
      </c>
      <c r="AM72" s="215">
        <v>89961.830000000016</v>
      </c>
      <c r="AN72" s="215">
        <v>-298739.17</v>
      </c>
      <c r="AO72" s="235"/>
      <c r="AP72" s="215">
        <v>-95926.410000000018</v>
      </c>
      <c r="AQ72" s="215">
        <v>-77937.22</v>
      </c>
      <c r="AR72" s="215">
        <v>359847.34</v>
      </c>
      <c r="AS72" s="215">
        <v>0</v>
      </c>
      <c r="AT72" s="215">
        <v>0</v>
      </c>
      <c r="AU72" s="215">
        <v>0</v>
      </c>
      <c r="AV72" s="215">
        <v>0</v>
      </c>
      <c r="AW72" s="215">
        <v>0</v>
      </c>
      <c r="AX72" s="215">
        <v>0</v>
      </c>
      <c r="AY72" s="215">
        <v>0</v>
      </c>
      <c r="AZ72" s="215">
        <v>0</v>
      </c>
      <c r="BA72" s="215">
        <v>0</v>
      </c>
    </row>
    <row r="73" spans="1:53" s="211" customFormat="1" ht="0.75" customHeight="1" outlineLevel="2" x14ac:dyDescent="0.25">
      <c r="B73" s="212"/>
      <c r="C73" s="238"/>
      <c r="D73" s="229"/>
      <c r="E73" s="229"/>
      <c r="F73" s="215"/>
      <c r="G73" s="215"/>
      <c r="H73" s="236"/>
      <c r="I73" s="237"/>
      <c r="J73" s="231"/>
      <c r="K73" s="215"/>
      <c r="L73" s="215"/>
      <c r="M73" s="236"/>
      <c r="N73" s="232"/>
      <c r="O73" s="233"/>
      <c r="P73" s="233"/>
      <c r="Q73" s="215"/>
      <c r="R73" s="215"/>
      <c r="S73" s="236"/>
      <c r="T73" s="237"/>
      <c r="U73" s="233"/>
      <c r="V73" s="215"/>
      <c r="W73" s="215"/>
      <c r="X73" s="236"/>
      <c r="Y73" s="232"/>
      <c r="AA73" s="215"/>
      <c r="AB73" s="23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3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</row>
    <row r="74" spans="1:53" s="138" customFormat="1" outlineLevel="2" x14ac:dyDescent="0.25">
      <c r="A74" s="138" t="s">
        <v>342</v>
      </c>
      <c r="B74" s="139" t="s">
        <v>343</v>
      </c>
      <c r="C74" s="140" t="s">
        <v>344</v>
      </c>
      <c r="D74" s="141"/>
      <c r="E74" s="142"/>
      <c r="F74" s="143">
        <v>462439.92</v>
      </c>
      <c r="G74" s="143">
        <v>411340.7</v>
      </c>
      <c r="H74" s="144">
        <f t="shared" ref="H74:H108" si="8">+F74-G74</f>
        <v>51099.219999999972</v>
      </c>
      <c r="I74" s="145">
        <f t="shared" ref="I74:I108" si="9">IF(G74&lt;0,IF(H74=0,0,IF(OR(G74=0,F74=0),"N.M.",IF(ABS(H74/G74)&gt;=10,"N.M.",H74/(-G74)))),IF(H74=0,0,IF(OR(G74=0,F74=0),"N.M.",IF(ABS(H74/G74)&gt;=10,"N.M.",H74/G74))))</f>
        <v>0.12422602480133857</v>
      </c>
      <c r="J74" s="146"/>
      <c r="K74" s="143">
        <v>908563.74</v>
      </c>
      <c r="L74" s="143">
        <v>724726.53</v>
      </c>
      <c r="M74" s="144">
        <f t="shared" ref="M74:M108" si="10">+K74-L74</f>
        <v>183837.20999999996</v>
      </c>
      <c r="N74" s="145">
        <f t="shared" ref="N74:N108" si="11">IF(L74&lt;0,IF(M74=0,0,IF(OR(L74=0,K74=0),"N.M.",IF(ABS(M74/L74)&gt;=10,"N.M.",M74/(-L74)))),IF(M74=0,0,IF(OR(L74=0,K74=0),"N.M.",IF(ABS(M74/L74)&gt;=10,"N.M.",M74/L74))))</f>
        <v>0.25366424767146301</v>
      </c>
      <c r="O74" s="147"/>
      <c r="P74" s="146"/>
      <c r="Q74" s="143">
        <v>1198210.22</v>
      </c>
      <c r="R74" s="143">
        <v>981233.24</v>
      </c>
      <c r="S74" s="144">
        <f t="shared" ref="S74:S108" si="12">+Q74-R74</f>
        <v>216976.97999999998</v>
      </c>
      <c r="T74" s="145">
        <f t="shared" ref="T74:T108" si="13">IF(R74&lt;0,IF(S74=0,0,IF(OR(R74=0,Q74=0),"N.M.",IF(ABS(S74/R74)&gt;=10,"N.M.",S74/(-R74)))),IF(S74=0,0,IF(OR(R74=0,Q74=0),"N.M.",IF(ABS(S74/R74)&gt;=10,"N.M.",S74/R74))))</f>
        <v>0.22112681384499366</v>
      </c>
      <c r="U74" s="146"/>
      <c r="V74" s="143">
        <v>4111894.4400000004</v>
      </c>
      <c r="W74" s="143">
        <v>3386427.6500000004</v>
      </c>
      <c r="X74" s="144">
        <f t="shared" ref="X74:X108" si="14">+V74-W74</f>
        <v>725466.79</v>
      </c>
      <c r="Y74" s="145">
        <f t="shared" ref="Y74:Y108" si="15">IF(W74&lt;0,IF(X74=0,0,IF(OR(W74=0,V74=0),"N.M.",IF(ABS(X74/W74)&gt;=10,"N.M.",X74/(-W74)))),IF(X74=0,0,IF(OR(W74=0,V74=0),"N.M.",IF(ABS(X74/W74)&gt;=10,"N.M.",X74/W74))))</f>
        <v>0.21422775413495102</v>
      </c>
      <c r="Z74" s="148"/>
      <c r="AA74" s="149">
        <v>256506.71</v>
      </c>
      <c r="AB74" s="150"/>
      <c r="AC74" s="117">
        <v>313385.83</v>
      </c>
      <c r="AD74" s="117">
        <v>411340.7</v>
      </c>
      <c r="AE74" s="117">
        <v>406503.62</v>
      </c>
      <c r="AF74" s="117">
        <v>298352.41000000003</v>
      </c>
      <c r="AG74" s="117">
        <v>289442.53000000003</v>
      </c>
      <c r="AH74" s="117">
        <v>265111.87</v>
      </c>
      <c r="AI74" s="117">
        <v>309903.46000000002</v>
      </c>
      <c r="AJ74" s="117">
        <v>380422.32</v>
      </c>
      <c r="AK74" s="117">
        <v>357455.41000000003</v>
      </c>
      <c r="AL74" s="117">
        <v>352133.88</v>
      </c>
      <c r="AM74" s="117">
        <v>254358.72</v>
      </c>
      <c r="AN74" s="117">
        <v>289646.48</v>
      </c>
      <c r="AO74" s="150"/>
      <c r="AP74" s="117">
        <v>446123.82</v>
      </c>
      <c r="AQ74" s="117">
        <v>462439.92</v>
      </c>
      <c r="AR74" s="117">
        <v>82162.650000000009</v>
      </c>
      <c r="AS74" s="117">
        <v>0</v>
      </c>
      <c r="AT74" s="117">
        <v>0</v>
      </c>
      <c r="AU74" s="117">
        <v>0</v>
      </c>
      <c r="AV74" s="117">
        <v>0</v>
      </c>
      <c r="AW74" s="117">
        <v>0</v>
      </c>
      <c r="AX74" s="117">
        <v>0</v>
      </c>
      <c r="AY74" s="117">
        <v>0</v>
      </c>
      <c r="AZ74" s="117">
        <v>0</v>
      </c>
      <c r="BA74" s="117">
        <v>0</v>
      </c>
    </row>
    <row r="75" spans="1:53" s="138" customFormat="1" outlineLevel="2" x14ac:dyDescent="0.25">
      <c r="A75" s="138" t="s">
        <v>345</v>
      </c>
      <c r="B75" s="139" t="s">
        <v>346</v>
      </c>
      <c r="C75" s="140" t="s">
        <v>347</v>
      </c>
      <c r="D75" s="141"/>
      <c r="E75" s="142"/>
      <c r="F75" s="143">
        <v>63907.75</v>
      </c>
      <c r="G75" s="143">
        <v>48666.65</v>
      </c>
      <c r="H75" s="144">
        <f t="shared" si="8"/>
        <v>15241.099999999999</v>
      </c>
      <c r="I75" s="145">
        <f t="shared" si="9"/>
        <v>0.31317339492239549</v>
      </c>
      <c r="J75" s="146"/>
      <c r="K75" s="143">
        <v>117148.1</v>
      </c>
      <c r="L75" s="143">
        <v>78592.44</v>
      </c>
      <c r="M75" s="144">
        <f t="shared" si="10"/>
        <v>38555.660000000003</v>
      </c>
      <c r="N75" s="145">
        <f t="shared" si="11"/>
        <v>0.49057721073426402</v>
      </c>
      <c r="O75" s="147"/>
      <c r="P75" s="146"/>
      <c r="Q75" s="143">
        <v>158199.94</v>
      </c>
      <c r="R75" s="143">
        <v>116335.17000000001</v>
      </c>
      <c r="S75" s="144">
        <f t="shared" si="12"/>
        <v>41864.76999999999</v>
      </c>
      <c r="T75" s="145">
        <f t="shared" si="13"/>
        <v>0.35986340158354507</v>
      </c>
      <c r="U75" s="146"/>
      <c r="V75" s="143">
        <v>785135.76</v>
      </c>
      <c r="W75" s="143">
        <v>535976.92999999993</v>
      </c>
      <c r="X75" s="144">
        <f t="shared" si="14"/>
        <v>249158.83000000007</v>
      </c>
      <c r="Y75" s="145">
        <f t="shared" si="15"/>
        <v>0.46486857186185254</v>
      </c>
      <c r="Z75" s="148"/>
      <c r="AA75" s="149">
        <v>37742.730000000003</v>
      </c>
      <c r="AB75" s="150"/>
      <c r="AC75" s="117">
        <v>29925.79</v>
      </c>
      <c r="AD75" s="117">
        <v>48666.65</v>
      </c>
      <c r="AE75" s="117">
        <v>64168.950000000004</v>
      </c>
      <c r="AF75" s="117">
        <v>73775.680000000008</v>
      </c>
      <c r="AG75" s="117">
        <v>75077.070000000007</v>
      </c>
      <c r="AH75" s="117">
        <v>63415.060000000005</v>
      </c>
      <c r="AI75" s="117">
        <v>57311.43</v>
      </c>
      <c r="AJ75" s="117">
        <v>75400.290000000008</v>
      </c>
      <c r="AK75" s="117">
        <v>75602.790000000008</v>
      </c>
      <c r="AL75" s="117">
        <v>77058.62</v>
      </c>
      <c r="AM75" s="117">
        <v>65125.93</v>
      </c>
      <c r="AN75" s="117">
        <v>41051.840000000004</v>
      </c>
      <c r="AO75" s="150"/>
      <c r="AP75" s="117">
        <v>53240.35</v>
      </c>
      <c r="AQ75" s="117">
        <v>63907.75</v>
      </c>
      <c r="AR75" s="117">
        <v>15047</v>
      </c>
      <c r="AS75" s="117">
        <v>0</v>
      </c>
      <c r="AT75" s="117">
        <v>0</v>
      </c>
      <c r="AU75" s="117">
        <v>0</v>
      </c>
      <c r="AV75" s="117">
        <v>0</v>
      </c>
      <c r="AW75" s="117">
        <v>0</v>
      </c>
      <c r="AX75" s="117">
        <v>0</v>
      </c>
      <c r="AY75" s="117">
        <v>0</v>
      </c>
      <c r="AZ75" s="117">
        <v>0</v>
      </c>
      <c r="BA75" s="117">
        <v>0</v>
      </c>
    </row>
    <row r="76" spans="1:53" s="138" customFormat="1" outlineLevel="2" x14ac:dyDescent="0.25">
      <c r="A76" s="138" t="s">
        <v>348</v>
      </c>
      <c r="B76" s="139" t="s">
        <v>349</v>
      </c>
      <c r="C76" s="140" t="s">
        <v>350</v>
      </c>
      <c r="D76" s="141"/>
      <c r="E76" s="142"/>
      <c r="F76" s="143">
        <v>61231.360000000001</v>
      </c>
      <c r="G76" s="143">
        <v>30099.62</v>
      </c>
      <c r="H76" s="144">
        <f t="shared" si="8"/>
        <v>31131.74</v>
      </c>
      <c r="I76" s="145">
        <f t="shared" si="9"/>
        <v>1.0342901338953783</v>
      </c>
      <c r="J76" s="146"/>
      <c r="K76" s="143">
        <v>122432.32000000001</v>
      </c>
      <c r="L76" s="143">
        <v>60199.24</v>
      </c>
      <c r="M76" s="144">
        <f t="shared" si="10"/>
        <v>62233.080000000009</v>
      </c>
      <c r="N76" s="145">
        <f t="shared" si="11"/>
        <v>1.0337851441313879</v>
      </c>
      <c r="O76" s="147"/>
      <c r="P76" s="146"/>
      <c r="Q76" s="143">
        <v>400568</v>
      </c>
      <c r="R76" s="143">
        <v>82746.58</v>
      </c>
      <c r="S76" s="144">
        <f t="shared" si="12"/>
        <v>317821.42</v>
      </c>
      <c r="T76" s="145">
        <f t="shared" si="13"/>
        <v>3.8409009774180394</v>
      </c>
      <c r="U76" s="146"/>
      <c r="V76" s="143">
        <v>759841.26</v>
      </c>
      <c r="W76" s="143">
        <v>285672.64</v>
      </c>
      <c r="X76" s="144">
        <f t="shared" si="14"/>
        <v>474168.62</v>
      </c>
      <c r="Y76" s="145">
        <f t="shared" si="15"/>
        <v>1.6598321071279349</v>
      </c>
      <c r="Z76" s="148"/>
      <c r="AA76" s="149">
        <v>22547.34</v>
      </c>
      <c r="AB76" s="150"/>
      <c r="AC76" s="117">
        <v>30099.62</v>
      </c>
      <c r="AD76" s="117">
        <v>30099.62</v>
      </c>
      <c r="AE76" s="117">
        <v>30099.62</v>
      </c>
      <c r="AF76" s="117">
        <v>30099.62</v>
      </c>
      <c r="AG76" s="117">
        <v>30099.62</v>
      </c>
      <c r="AH76" s="117">
        <v>30099.62</v>
      </c>
      <c r="AI76" s="117">
        <v>30099.62</v>
      </c>
      <c r="AJ76" s="117">
        <v>87796.14</v>
      </c>
      <c r="AK76" s="117">
        <v>40345.51</v>
      </c>
      <c r="AL76" s="117">
        <v>40326.04</v>
      </c>
      <c r="AM76" s="117">
        <v>40307.47</v>
      </c>
      <c r="AN76" s="117">
        <v>278135.67999999999</v>
      </c>
      <c r="AO76" s="150"/>
      <c r="AP76" s="117">
        <v>61200.959999999999</v>
      </c>
      <c r="AQ76" s="117">
        <v>61231.360000000001</v>
      </c>
      <c r="AR76" s="117">
        <v>79379.839999999997</v>
      </c>
      <c r="AS76" s="117">
        <v>0</v>
      </c>
      <c r="AT76" s="117">
        <v>0</v>
      </c>
      <c r="AU76" s="117">
        <v>0</v>
      </c>
      <c r="AV76" s="117">
        <v>0</v>
      </c>
      <c r="AW76" s="117">
        <v>0</v>
      </c>
      <c r="AX76" s="117">
        <v>0</v>
      </c>
      <c r="AY76" s="117">
        <v>0</v>
      </c>
      <c r="AZ76" s="117">
        <v>0</v>
      </c>
      <c r="BA76" s="117">
        <v>0</v>
      </c>
    </row>
    <row r="77" spans="1:53" s="138" customFormat="1" outlineLevel="2" x14ac:dyDescent="0.25">
      <c r="A77" s="138" t="s">
        <v>351</v>
      </c>
      <c r="B77" s="139" t="s">
        <v>352</v>
      </c>
      <c r="C77" s="140" t="s">
        <v>353</v>
      </c>
      <c r="D77" s="141"/>
      <c r="E77" s="142"/>
      <c r="F77" s="143">
        <v>1100</v>
      </c>
      <c r="G77" s="143">
        <v>1100</v>
      </c>
      <c r="H77" s="144">
        <f t="shared" si="8"/>
        <v>0</v>
      </c>
      <c r="I77" s="145">
        <f t="shared" si="9"/>
        <v>0</v>
      </c>
      <c r="J77" s="146"/>
      <c r="K77" s="143">
        <v>2200</v>
      </c>
      <c r="L77" s="143">
        <v>2200</v>
      </c>
      <c r="M77" s="144">
        <f t="shared" si="10"/>
        <v>0</v>
      </c>
      <c r="N77" s="145">
        <f t="shared" si="11"/>
        <v>0</v>
      </c>
      <c r="O77" s="147"/>
      <c r="P77" s="146"/>
      <c r="Q77" s="143">
        <v>3300</v>
      </c>
      <c r="R77" s="143">
        <v>3300</v>
      </c>
      <c r="S77" s="144">
        <f t="shared" si="12"/>
        <v>0</v>
      </c>
      <c r="T77" s="145">
        <f t="shared" si="13"/>
        <v>0</v>
      </c>
      <c r="U77" s="146"/>
      <c r="V77" s="143">
        <v>87372.25</v>
      </c>
      <c r="W77" s="143">
        <v>110927.90000000001</v>
      </c>
      <c r="X77" s="144">
        <f t="shared" si="14"/>
        <v>-23555.650000000009</v>
      </c>
      <c r="Y77" s="145">
        <f t="shared" si="15"/>
        <v>-0.2123509955565733</v>
      </c>
      <c r="Z77" s="148"/>
      <c r="AA77" s="149">
        <v>1100</v>
      </c>
      <c r="AB77" s="150"/>
      <c r="AC77" s="117">
        <v>1100</v>
      </c>
      <c r="AD77" s="117">
        <v>1100</v>
      </c>
      <c r="AE77" s="117">
        <v>35893.950000000004</v>
      </c>
      <c r="AF77" s="117">
        <v>2320</v>
      </c>
      <c r="AG77" s="117">
        <v>22800</v>
      </c>
      <c r="AH77" s="117">
        <v>1100</v>
      </c>
      <c r="AI77" s="117">
        <v>1725</v>
      </c>
      <c r="AJ77" s="117">
        <v>1100</v>
      </c>
      <c r="AK77" s="117">
        <v>1900</v>
      </c>
      <c r="AL77" s="117">
        <v>16100</v>
      </c>
      <c r="AM77" s="117">
        <v>1133.3</v>
      </c>
      <c r="AN77" s="117">
        <v>1100</v>
      </c>
      <c r="AO77" s="150"/>
      <c r="AP77" s="117">
        <v>1100</v>
      </c>
      <c r="AQ77" s="117">
        <v>1100</v>
      </c>
      <c r="AR77" s="117">
        <v>150</v>
      </c>
      <c r="AS77" s="117">
        <v>0</v>
      </c>
      <c r="AT77" s="117">
        <v>0</v>
      </c>
      <c r="AU77" s="117">
        <v>0</v>
      </c>
      <c r="AV77" s="117">
        <v>0</v>
      </c>
      <c r="AW77" s="117">
        <v>0</v>
      </c>
      <c r="AX77" s="117">
        <v>0</v>
      </c>
      <c r="AY77" s="117">
        <v>0</v>
      </c>
      <c r="AZ77" s="117">
        <v>0</v>
      </c>
      <c r="BA77" s="117">
        <v>0</v>
      </c>
    </row>
    <row r="78" spans="1:53" s="138" customFormat="1" outlineLevel="2" x14ac:dyDescent="0.25">
      <c r="A78" s="138" t="s">
        <v>354</v>
      </c>
      <c r="B78" s="139" t="s">
        <v>355</v>
      </c>
      <c r="C78" s="140" t="s">
        <v>356</v>
      </c>
      <c r="D78" s="141"/>
      <c r="E78" s="142"/>
      <c r="F78" s="143">
        <v>3041.75</v>
      </c>
      <c r="G78" s="143">
        <v>3041.75</v>
      </c>
      <c r="H78" s="144">
        <f t="shared" si="8"/>
        <v>0</v>
      </c>
      <c r="I78" s="145">
        <f t="shared" si="9"/>
        <v>0</v>
      </c>
      <c r="J78" s="146"/>
      <c r="K78" s="143">
        <v>6083.5</v>
      </c>
      <c r="L78" s="143">
        <v>6083.5</v>
      </c>
      <c r="M78" s="144">
        <f t="shared" si="10"/>
        <v>0</v>
      </c>
      <c r="N78" s="145">
        <f t="shared" si="11"/>
        <v>0</v>
      </c>
      <c r="O78" s="147"/>
      <c r="P78" s="146"/>
      <c r="Q78" s="143">
        <v>24395.43</v>
      </c>
      <c r="R78" s="143">
        <v>22608.12</v>
      </c>
      <c r="S78" s="144">
        <f t="shared" si="12"/>
        <v>1787.3100000000013</v>
      </c>
      <c r="T78" s="145">
        <f t="shared" si="13"/>
        <v>7.9056109044007256E-2</v>
      </c>
      <c r="U78" s="146"/>
      <c r="V78" s="143">
        <v>117204.08</v>
      </c>
      <c r="W78" s="143">
        <v>107016.93000000001</v>
      </c>
      <c r="X78" s="144">
        <f t="shared" si="14"/>
        <v>10187.149999999994</v>
      </c>
      <c r="Y78" s="145">
        <f t="shared" si="15"/>
        <v>9.5191947666598109E-2</v>
      </c>
      <c r="Z78" s="148"/>
      <c r="AA78" s="149">
        <v>16524.62</v>
      </c>
      <c r="AB78" s="150"/>
      <c r="AC78" s="117">
        <v>3041.75</v>
      </c>
      <c r="AD78" s="117">
        <v>3041.75</v>
      </c>
      <c r="AE78" s="117">
        <v>16524.62</v>
      </c>
      <c r="AF78" s="117">
        <v>3041.75</v>
      </c>
      <c r="AG78" s="117">
        <v>3041.75</v>
      </c>
      <c r="AH78" s="117">
        <v>16786.830000000002</v>
      </c>
      <c r="AI78" s="117">
        <v>3318.85</v>
      </c>
      <c r="AJ78" s="117">
        <v>4302.8999999999996</v>
      </c>
      <c r="AK78" s="117">
        <v>39708.450000000004</v>
      </c>
      <c r="AL78" s="117">
        <v>3041.75</v>
      </c>
      <c r="AM78" s="117">
        <v>3041.75</v>
      </c>
      <c r="AN78" s="117">
        <v>18311.93</v>
      </c>
      <c r="AO78" s="150"/>
      <c r="AP78" s="117">
        <v>3041.75</v>
      </c>
      <c r="AQ78" s="117">
        <v>3041.75</v>
      </c>
      <c r="AR78" s="117">
        <v>3041.75</v>
      </c>
      <c r="AS78" s="117">
        <v>0</v>
      </c>
      <c r="AT78" s="117">
        <v>0</v>
      </c>
      <c r="AU78" s="117">
        <v>0</v>
      </c>
      <c r="AV78" s="117">
        <v>0</v>
      </c>
      <c r="AW78" s="117">
        <v>0</v>
      </c>
      <c r="AX78" s="117">
        <v>0</v>
      </c>
      <c r="AY78" s="117">
        <v>0</v>
      </c>
      <c r="AZ78" s="117">
        <v>0</v>
      </c>
      <c r="BA78" s="117">
        <v>0</v>
      </c>
    </row>
    <row r="79" spans="1:53" s="138" customFormat="1" outlineLevel="2" x14ac:dyDescent="0.25">
      <c r="A79" s="138" t="s">
        <v>357</v>
      </c>
      <c r="B79" s="139" t="s">
        <v>358</v>
      </c>
      <c r="C79" s="140" t="s">
        <v>359</v>
      </c>
      <c r="D79" s="141"/>
      <c r="E79" s="142"/>
      <c r="F79" s="143">
        <v>417322.78</v>
      </c>
      <c r="G79" s="143">
        <v>378386.27</v>
      </c>
      <c r="H79" s="144">
        <f t="shared" si="8"/>
        <v>38936.510000000009</v>
      </c>
      <c r="I79" s="145">
        <f t="shared" si="9"/>
        <v>0.10290148741390645</v>
      </c>
      <c r="J79" s="146"/>
      <c r="K79" s="143">
        <v>835415.65</v>
      </c>
      <c r="L79" s="143">
        <v>796830.46</v>
      </c>
      <c r="M79" s="144">
        <f t="shared" si="10"/>
        <v>38585.190000000061</v>
      </c>
      <c r="N79" s="145">
        <f t="shared" si="11"/>
        <v>4.8423337129958686E-2</v>
      </c>
      <c r="O79" s="147"/>
      <c r="P79" s="146"/>
      <c r="Q79" s="143">
        <v>1296429.6600000001</v>
      </c>
      <c r="R79" s="143">
        <v>1599997.5</v>
      </c>
      <c r="S79" s="144">
        <f t="shared" si="12"/>
        <v>-303567.83999999985</v>
      </c>
      <c r="T79" s="145">
        <f t="shared" si="13"/>
        <v>-0.18973019645343187</v>
      </c>
      <c r="U79" s="146"/>
      <c r="V79" s="143">
        <v>5814603.5600000005</v>
      </c>
      <c r="W79" s="143">
        <v>5143179.43</v>
      </c>
      <c r="X79" s="144">
        <f t="shared" si="14"/>
        <v>671424.13000000082</v>
      </c>
      <c r="Y79" s="145">
        <f t="shared" si="15"/>
        <v>0.13054651099349276</v>
      </c>
      <c r="Z79" s="148"/>
      <c r="AA79" s="149">
        <v>803167.04</v>
      </c>
      <c r="AB79" s="150"/>
      <c r="AC79" s="117">
        <v>418444.19</v>
      </c>
      <c r="AD79" s="117">
        <v>378386.27</v>
      </c>
      <c r="AE79" s="117">
        <v>395115.60000000003</v>
      </c>
      <c r="AF79" s="117">
        <v>378282.37</v>
      </c>
      <c r="AG79" s="117">
        <v>378282.37</v>
      </c>
      <c r="AH79" s="117">
        <v>1043319.21</v>
      </c>
      <c r="AI79" s="117">
        <v>478929.54000000004</v>
      </c>
      <c r="AJ79" s="117">
        <v>461202.72000000003</v>
      </c>
      <c r="AK79" s="117">
        <v>461014.03</v>
      </c>
      <c r="AL79" s="117">
        <v>461014.03</v>
      </c>
      <c r="AM79" s="117">
        <v>461014.03</v>
      </c>
      <c r="AN79" s="117">
        <v>461014.01</v>
      </c>
      <c r="AO79" s="150"/>
      <c r="AP79" s="117">
        <v>418092.87</v>
      </c>
      <c r="AQ79" s="117">
        <v>417322.78</v>
      </c>
      <c r="AR79" s="117">
        <v>82.89</v>
      </c>
      <c r="AS79" s="117">
        <v>0</v>
      </c>
      <c r="AT79" s="117">
        <v>0</v>
      </c>
      <c r="AU79" s="117">
        <v>0</v>
      </c>
      <c r="AV79" s="117">
        <v>0</v>
      </c>
      <c r="AW79" s="117">
        <v>0</v>
      </c>
      <c r="AX79" s="117">
        <v>0</v>
      </c>
      <c r="AY79" s="117">
        <v>0</v>
      </c>
      <c r="AZ79" s="117">
        <v>0</v>
      </c>
      <c r="BA79" s="117">
        <v>0</v>
      </c>
    </row>
    <row r="80" spans="1:53" s="138" customFormat="1" outlineLevel="2" x14ac:dyDescent="0.25">
      <c r="A80" s="138" t="s">
        <v>360</v>
      </c>
      <c r="B80" s="139" t="s">
        <v>361</v>
      </c>
      <c r="C80" s="140" t="s">
        <v>362</v>
      </c>
      <c r="D80" s="141"/>
      <c r="E80" s="142"/>
      <c r="F80" s="143">
        <v>1718.83</v>
      </c>
      <c r="G80" s="143">
        <v>10.82</v>
      </c>
      <c r="H80" s="144">
        <f t="shared" si="8"/>
        <v>1708.01</v>
      </c>
      <c r="I80" s="145" t="str">
        <f t="shared" si="9"/>
        <v>N.M.</v>
      </c>
      <c r="J80" s="146"/>
      <c r="K80" s="143">
        <v>7044.2060000000001</v>
      </c>
      <c r="L80" s="143">
        <v>497.44</v>
      </c>
      <c r="M80" s="144">
        <f t="shared" si="10"/>
        <v>6546.7660000000005</v>
      </c>
      <c r="N80" s="145" t="str">
        <f t="shared" si="11"/>
        <v>N.M.</v>
      </c>
      <c r="O80" s="147"/>
      <c r="P80" s="146"/>
      <c r="Q80" s="143">
        <v>21068.126</v>
      </c>
      <c r="R80" s="143">
        <v>14926.37</v>
      </c>
      <c r="S80" s="144">
        <f t="shared" si="12"/>
        <v>6141.7559999999994</v>
      </c>
      <c r="T80" s="145">
        <f t="shared" si="13"/>
        <v>0.4114701699073518</v>
      </c>
      <c r="U80" s="146"/>
      <c r="V80" s="143">
        <v>53767.036</v>
      </c>
      <c r="W80" s="143">
        <v>58536.065000000002</v>
      </c>
      <c r="X80" s="144">
        <f t="shared" si="14"/>
        <v>-4769.0290000000023</v>
      </c>
      <c r="Y80" s="145">
        <f t="shared" si="15"/>
        <v>-8.1471636332233852E-2</v>
      </c>
      <c r="Z80" s="148"/>
      <c r="AA80" s="149">
        <v>14428.93</v>
      </c>
      <c r="AB80" s="150"/>
      <c r="AC80" s="117">
        <v>486.62</v>
      </c>
      <c r="AD80" s="117">
        <v>10.82</v>
      </c>
      <c r="AE80" s="117">
        <v>9804.26</v>
      </c>
      <c r="AF80" s="117">
        <v>2173.36</v>
      </c>
      <c r="AG80" s="117">
        <v>174.94</v>
      </c>
      <c r="AH80" s="117">
        <v>184.15</v>
      </c>
      <c r="AI80" s="117">
        <v>17385.760000000002</v>
      </c>
      <c r="AJ80" s="117">
        <v>60.94</v>
      </c>
      <c r="AK80" s="117">
        <v>1079.23</v>
      </c>
      <c r="AL80" s="117">
        <v>0</v>
      </c>
      <c r="AM80" s="117">
        <v>1836.27</v>
      </c>
      <c r="AN80" s="117">
        <v>14023.92</v>
      </c>
      <c r="AO80" s="150"/>
      <c r="AP80" s="117">
        <v>5325.3760000000002</v>
      </c>
      <c r="AQ80" s="117">
        <v>1718.83</v>
      </c>
      <c r="AR80" s="117">
        <v>0</v>
      </c>
      <c r="AS80" s="117">
        <v>0</v>
      </c>
      <c r="AT80" s="117">
        <v>0</v>
      </c>
      <c r="AU80" s="117">
        <v>0</v>
      </c>
      <c r="AV80" s="117">
        <v>0</v>
      </c>
      <c r="AW80" s="117">
        <v>0</v>
      </c>
      <c r="AX80" s="117">
        <v>0</v>
      </c>
      <c r="AY80" s="117">
        <v>0</v>
      </c>
      <c r="AZ80" s="117">
        <v>0</v>
      </c>
      <c r="BA80" s="117">
        <v>0</v>
      </c>
    </row>
    <row r="81" spans="1:53" s="138" customFormat="1" outlineLevel="2" x14ac:dyDescent="0.25">
      <c r="A81" s="138" t="s">
        <v>363</v>
      </c>
      <c r="B81" s="139" t="s">
        <v>364</v>
      </c>
      <c r="C81" s="140" t="s">
        <v>365</v>
      </c>
      <c r="D81" s="141"/>
      <c r="E81" s="142"/>
      <c r="F81" s="143">
        <v>1680513.9300000002</v>
      </c>
      <c r="G81" s="143">
        <v>355980.74</v>
      </c>
      <c r="H81" s="144">
        <f t="shared" si="8"/>
        <v>1324533.1900000002</v>
      </c>
      <c r="I81" s="145">
        <f t="shared" si="9"/>
        <v>3.7208001477832768</v>
      </c>
      <c r="J81" s="146"/>
      <c r="K81" s="143">
        <v>3137551</v>
      </c>
      <c r="L81" s="143">
        <v>703228.74</v>
      </c>
      <c r="M81" s="144">
        <f t="shared" si="10"/>
        <v>2434322.2599999998</v>
      </c>
      <c r="N81" s="145">
        <f t="shared" si="11"/>
        <v>3.4616364797604828</v>
      </c>
      <c r="O81" s="147"/>
      <c r="P81" s="146"/>
      <c r="Q81" s="143">
        <v>4100415.8200000003</v>
      </c>
      <c r="R81" s="143">
        <v>1062217.18</v>
      </c>
      <c r="S81" s="144">
        <f t="shared" si="12"/>
        <v>3038198.6400000006</v>
      </c>
      <c r="T81" s="145">
        <f t="shared" si="13"/>
        <v>2.8602424223641352</v>
      </c>
      <c r="U81" s="146"/>
      <c r="V81" s="143">
        <v>12563568.039999999</v>
      </c>
      <c r="W81" s="143">
        <v>4135427.46</v>
      </c>
      <c r="X81" s="144">
        <f t="shared" si="14"/>
        <v>8428140.5799999982</v>
      </c>
      <c r="Y81" s="145">
        <f t="shared" si="15"/>
        <v>2.0380337127228918</v>
      </c>
      <c r="Z81" s="148"/>
      <c r="AA81" s="149">
        <v>358988.44</v>
      </c>
      <c r="AB81" s="150"/>
      <c r="AC81" s="117">
        <v>347248</v>
      </c>
      <c r="AD81" s="117">
        <v>355980.74</v>
      </c>
      <c r="AE81" s="117">
        <v>321079.60000000003</v>
      </c>
      <c r="AF81" s="117">
        <v>595471.78</v>
      </c>
      <c r="AG81" s="117">
        <v>531331.67000000004</v>
      </c>
      <c r="AH81" s="117">
        <v>598678.43000000005</v>
      </c>
      <c r="AI81" s="117">
        <v>681509.92</v>
      </c>
      <c r="AJ81" s="117">
        <v>3298685.92</v>
      </c>
      <c r="AK81" s="117">
        <v>913767.54</v>
      </c>
      <c r="AL81" s="117">
        <v>781748.47</v>
      </c>
      <c r="AM81" s="117">
        <v>740878.89</v>
      </c>
      <c r="AN81" s="117">
        <v>962864.82000000007</v>
      </c>
      <c r="AO81" s="150"/>
      <c r="AP81" s="117">
        <v>1457037.07</v>
      </c>
      <c r="AQ81" s="117">
        <v>1680513.9300000002</v>
      </c>
      <c r="AR81" s="117">
        <v>550769.07000000007</v>
      </c>
      <c r="AS81" s="117">
        <v>0</v>
      </c>
      <c r="AT81" s="117">
        <v>0</v>
      </c>
      <c r="AU81" s="117">
        <v>0</v>
      </c>
      <c r="AV81" s="117">
        <v>0</v>
      </c>
      <c r="AW81" s="117">
        <v>0</v>
      </c>
      <c r="AX81" s="117">
        <v>0</v>
      </c>
      <c r="AY81" s="117">
        <v>0</v>
      </c>
      <c r="AZ81" s="117">
        <v>0</v>
      </c>
      <c r="BA81" s="117">
        <v>0</v>
      </c>
    </row>
    <row r="82" spans="1:53" s="138" customFormat="1" outlineLevel="2" x14ac:dyDescent="0.25">
      <c r="A82" s="138" t="s">
        <v>366</v>
      </c>
      <c r="B82" s="139" t="s">
        <v>367</v>
      </c>
      <c r="C82" s="140" t="s">
        <v>368</v>
      </c>
      <c r="D82" s="141"/>
      <c r="E82" s="142"/>
      <c r="F82" s="143">
        <v>12252.15</v>
      </c>
      <c r="G82" s="143">
        <v>26786.670000000002</v>
      </c>
      <c r="H82" s="144">
        <f t="shared" si="8"/>
        <v>-14534.520000000002</v>
      </c>
      <c r="I82" s="145">
        <f t="shared" si="9"/>
        <v>-0.54260271993495279</v>
      </c>
      <c r="J82" s="146"/>
      <c r="K82" s="143">
        <v>25608.350000000002</v>
      </c>
      <c r="L82" s="143">
        <v>47815.32</v>
      </c>
      <c r="M82" s="144">
        <f t="shared" si="10"/>
        <v>-22206.969999999998</v>
      </c>
      <c r="N82" s="145">
        <f t="shared" si="11"/>
        <v>-0.46443211087994385</v>
      </c>
      <c r="O82" s="147"/>
      <c r="P82" s="146"/>
      <c r="Q82" s="143">
        <v>-182614.45</v>
      </c>
      <c r="R82" s="143">
        <v>61886.95</v>
      </c>
      <c r="S82" s="144">
        <f t="shared" si="12"/>
        <v>-244501.40000000002</v>
      </c>
      <c r="T82" s="145">
        <f t="shared" si="13"/>
        <v>-3.9507747594605975</v>
      </c>
      <c r="U82" s="146"/>
      <c r="V82" s="143">
        <v>316241.81</v>
      </c>
      <c r="W82" s="143">
        <v>237938.61000000002</v>
      </c>
      <c r="X82" s="144">
        <f t="shared" si="14"/>
        <v>78303.199999999983</v>
      </c>
      <c r="Y82" s="145">
        <f t="shared" si="15"/>
        <v>0.32908992785996344</v>
      </c>
      <c r="Z82" s="148"/>
      <c r="AA82" s="149">
        <v>14071.630000000001</v>
      </c>
      <c r="AB82" s="150"/>
      <c r="AC82" s="117">
        <v>21028.65</v>
      </c>
      <c r="AD82" s="117">
        <v>26786.670000000002</v>
      </c>
      <c r="AE82" s="117">
        <v>23507.39</v>
      </c>
      <c r="AF82" s="117">
        <v>23572.600000000002</v>
      </c>
      <c r="AG82" s="117">
        <v>16515.760000000002</v>
      </c>
      <c r="AH82" s="117">
        <v>44787.770000000004</v>
      </c>
      <c r="AI82" s="117">
        <v>33167.1</v>
      </c>
      <c r="AJ82" s="117">
        <v>24132.95</v>
      </c>
      <c r="AK82" s="117">
        <v>27828.29</v>
      </c>
      <c r="AL82" s="117">
        <v>2427.81</v>
      </c>
      <c r="AM82" s="117">
        <v>302916.59000000003</v>
      </c>
      <c r="AN82" s="117">
        <v>-208222.80000000002</v>
      </c>
      <c r="AO82" s="150"/>
      <c r="AP82" s="117">
        <v>13356.2</v>
      </c>
      <c r="AQ82" s="117">
        <v>12252.15</v>
      </c>
      <c r="AR82" s="117">
        <v>0</v>
      </c>
      <c r="AS82" s="117">
        <v>0</v>
      </c>
      <c r="AT82" s="117">
        <v>0</v>
      </c>
      <c r="AU82" s="117">
        <v>0</v>
      </c>
      <c r="AV82" s="117">
        <v>0</v>
      </c>
      <c r="AW82" s="117">
        <v>0</v>
      </c>
      <c r="AX82" s="117">
        <v>0</v>
      </c>
      <c r="AY82" s="117">
        <v>0</v>
      </c>
      <c r="AZ82" s="117">
        <v>0</v>
      </c>
      <c r="BA82" s="117">
        <v>0</v>
      </c>
    </row>
    <row r="83" spans="1:53" s="138" customFormat="1" outlineLevel="2" x14ac:dyDescent="0.25">
      <c r="A83" s="138" t="s">
        <v>369</v>
      </c>
      <c r="B83" s="139" t="s">
        <v>370</v>
      </c>
      <c r="C83" s="140" t="s">
        <v>371</v>
      </c>
      <c r="D83" s="141"/>
      <c r="E83" s="142"/>
      <c r="F83" s="143">
        <v>0</v>
      </c>
      <c r="G83" s="143">
        <v>6237.63</v>
      </c>
      <c r="H83" s="144">
        <f t="shared" si="8"/>
        <v>-6237.63</v>
      </c>
      <c r="I83" s="145" t="str">
        <f t="shared" si="9"/>
        <v>N.M.</v>
      </c>
      <c r="J83" s="146"/>
      <c r="K83" s="143">
        <v>0</v>
      </c>
      <c r="L83" s="143">
        <v>12291.08</v>
      </c>
      <c r="M83" s="144">
        <f t="shared" si="10"/>
        <v>-12291.08</v>
      </c>
      <c r="N83" s="145" t="str">
        <f t="shared" si="11"/>
        <v>N.M.</v>
      </c>
      <c r="O83" s="147"/>
      <c r="P83" s="146"/>
      <c r="Q83" s="143">
        <v>0</v>
      </c>
      <c r="R83" s="143">
        <v>15684.07</v>
      </c>
      <c r="S83" s="144">
        <f t="shared" si="12"/>
        <v>-15684.07</v>
      </c>
      <c r="T83" s="145" t="str">
        <f t="shared" si="13"/>
        <v>N.M.</v>
      </c>
      <c r="U83" s="146"/>
      <c r="V83" s="143">
        <v>-12291.08</v>
      </c>
      <c r="W83" s="143">
        <v>23910.54</v>
      </c>
      <c r="X83" s="144">
        <f t="shared" si="14"/>
        <v>-36201.620000000003</v>
      </c>
      <c r="Y83" s="145">
        <f t="shared" si="15"/>
        <v>-1.5140444339609227</v>
      </c>
      <c r="Z83" s="148"/>
      <c r="AA83" s="149">
        <v>3392.9900000000002</v>
      </c>
      <c r="AB83" s="150"/>
      <c r="AC83" s="117">
        <v>6053.45</v>
      </c>
      <c r="AD83" s="117">
        <v>6237.63</v>
      </c>
      <c r="AE83" s="117">
        <v>6289.64</v>
      </c>
      <c r="AF83" s="117">
        <v>6305.03</v>
      </c>
      <c r="AG83" s="117">
        <v>6156.72</v>
      </c>
      <c r="AH83" s="117">
        <v>6755.89</v>
      </c>
      <c r="AI83" s="117">
        <v>10008.98</v>
      </c>
      <c r="AJ83" s="117">
        <v>-47807.340000000004</v>
      </c>
      <c r="AK83" s="117">
        <v>0</v>
      </c>
      <c r="AL83" s="117">
        <v>0</v>
      </c>
      <c r="AM83" s="117">
        <v>0</v>
      </c>
      <c r="AN83" s="117">
        <v>0</v>
      </c>
      <c r="AO83" s="150"/>
      <c r="AP83" s="117">
        <v>0</v>
      </c>
      <c r="AQ83" s="117">
        <v>0</v>
      </c>
      <c r="AR83" s="117">
        <v>0</v>
      </c>
      <c r="AS83" s="117">
        <v>0</v>
      </c>
      <c r="AT83" s="117">
        <v>0</v>
      </c>
      <c r="AU83" s="117">
        <v>0</v>
      </c>
      <c r="AV83" s="117">
        <v>0</v>
      </c>
      <c r="AW83" s="117">
        <v>0</v>
      </c>
      <c r="AX83" s="117">
        <v>0</v>
      </c>
      <c r="AY83" s="117">
        <v>0</v>
      </c>
      <c r="AZ83" s="117">
        <v>0</v>
      </c>
      <c r="BA83" s="117">
        <v>0</v>
      </c>
    </row>
    <row r="84" spans="1:53" s="138" customFormat="1" outlineLevel="2" x14ac:dyDescent="0.25">
      <c r="A84" s="138" t="s">
        <v>372</v>
      </c>
      <c r="B84" s="139" t="s">
        <v>373</v>
      </c>
      <c r="C84" s="140" t="s">
        <v>374</v>
      </c>
      <c r="D84" s="141"/>
      <c r="E84" s="142"/>
      <c r="F84" s="143">
        <v>0</v>
      </c>
      <c r="G84" s="143">
        <v>0</v>
      </c>
      <c r="H84" s="144">
        <f t="shared" si="8"/>
        <v>0</v>
      </c>
      <c r="I84" s="145">
        <f t="shared" si="9"/>
        <v>0</v>
      </c>
      <c r="J84" s="146"/>
      <c r="K84" s="143">
        <v>0</v>
      </c>
      <c r="L84" s="143">
        <v>0</v>
      </c>
      <c r="M84" s="144">
        <f t="shared" si="10"/>
        <v>0</v>
      </c>
      <c r="N84" s="145">
        <f t="shared" si="11"/>
        <v>0</v>
      </c>
      <c r="O84" s="147"/>
      <c r="P84" s="146"/>
      <c r="Q84" s="143">
        <v>0</v>
      </c>
      <c r="R84" s="143">
        <v>0</v>
      </c>
      <c r="S84" s="144">
        <f t="shared" si="12"/>
        <v>0</v>
      </c>
      <c r="T84" s="145">
        <f t="shared" si="13"/>
        <v>0</v>
      </c>
      <c r="U84" s="146"/>
      <c r="V84" s="143">
        <v>0</v>
      </c>
      <c r="W84" s="143">
        <v>0</v>
      </c>
      <c r="X84" s="144">
        <f t="shared" si="14"/>
        <v>0</v>
      </c>
      <c r="Y84" s="145">
        <f t="shared" si="15"/>
        <v>0</v>
      </c>
      <c r="Z84" s="148"/>
      <c r="AA84" s="149">
        <v>0</v>
      </c>
      <c r="AB84" s="150"/>
      <c r="AC84" s="117">
        <v>0</v>
      </c>
      <c r="AD84" s="117">
        <v>0</v>
      </c>
      <c r="AE84" s="117">
        <v>0</v>
      </c>
      <c r="AF84" s="117">
        <v>0</v>
      </c>
      <c r="AG84" s="117">
        <v>0</v>
      </c>
      <c r="AH84" s="117">
        <v>0</v>
      </c>
      <c r="AI84" s="117">
        <v>0</v>
      </c>
      <c r="AJ84" s="117">
        <v>0</v>
      </c>
      <c r="AK84" s="117">
        <v>0</v>
      </c>
      <c r="AL84" s="117">
        <v>0</v>
      </c>
      <c r="AM84" s="117">
        <v>0</v>
      </c>
      <c r="AN84" s="117">
        <v>0</v>
      </c>
      <c r="AO84" s="150"/>
      <c r="AP84" s="117">
        <v>0</v>
      </c>
      <c r="AQ84" s="117">
        <v>0</v>
      </c>
      <c r="AR84" s="117">
        <v>4940914.82</v>
      </c>
      <c r="AS84" s="117">
        <v>0</v>
      </c>
      <c r="AT84" s="117">
        <v>0</v>
      </c>
      <c r="AU84" s="117">
        <v>0</v>
      </c>
      <c r="AV84" s="117">
        <v>0</v>
      </c>
      <c r="AW84" s="117">
        <v>0</v>
      </c>
      <c r="AX84" s="117">
        <v>0</v>
      </c>
      <c r="AY84" s="117">
        <v>0</v>
      </c>
      <c r="AZ84" s="117">
        <v>0</v>
      </c>
      <c r="BA84" s="117">
        <v>0</v>
      </c>
    </row>
    <row r="85" spans="1:53" s="138" customFormat="1" outlineLevel="2" x14ac:dyDescent="0.25">
      <c r="A85" s="138" t="s">
        <v>375</v>
      </c>
      <c r="B85" s="139" t="s">
        <v>376</v>
      </c>
      <c r="C85" s="140" t="s">
        <v>377</v>
      </c>
      <c r="D85" s="141"/>
      <c r="E85" s="142"/>
      <c r="F85" s="143">
        <v>0</v>
      </c>
      <c r="G85" s="143">
        <v>0</v>
      </c>
      <c r="H85" s="144">
        <f t="shared" si="8"/>
        <v>0</v>
      </c>
      <c r="I85" s="145">
        <f t="shared" si="9"/>
        <v>0</v>
      </c>
      <c r="J85" s="146"/>
      <c r="K85" s="143">
        <v>0</v>
      </c>
      <c r="L85" s="143">
        <v>0</v>
      </c>
      <c r="M85" s="144">
        <f t="shared" si="10"/>
        <v>0</v>
      </c>
      <c r="N85" s="145">
        <f t="shared" si="11"/>
        <v>0</v>
      </c>
      <c r="O85" s="147"/>
      <c r="P85" s="146"/>
      <c r="Q85" s="143">
        <v>0</v>
      </c>
      <c r="R85" s="143">
        <v>0</v>
      </c>
      <c r="S85" s="144">
        <f t="shared" si="12"/>
        <v>0</v>
      </c>
      <c r="T85" s="145">
        <f t="shared" si="13"/>
        <v>0</v>
      </c>
      <c r="U85" s="146"/>
      <c r="V85" s="143">
        <v>0</v>
      </c>
      <c r="W85" s="143">
        <v>1546.02</v>
      </c>
      <c r="X85" s="144">
        <f t="shared" si="14"/>
        <v>-1546.02</v>
      </c>
      <c r="Y85" s="145" t="str">
        <f t="shared" si="15"/>
        <v>N.M.</v>
      </c>
      <c r="Z85" s="148"/>
      <c r="AA85" s="149">
        <v>0</v>
      </c>
      <c r="AB85" s="150"/>
      <c r="AC85" s="117">
        <v>0</v>
      </c>
      <c r="AD85" s="117">
        <v>0</v>
      </c>
      <c r="AE85" s="117">
        <v>0</v>
      </c>
      <c r="AF85" s="117">
        <v>0</v>
      </c>
      <c r="AG85" s="117">
        <v>0</v>
      </c>
      <c r="AH85" s="117">
        <v>0</v>
      </c>
      <c r="AI85" s="117">
        <v>0</v>
      </c>
      <c r="AJ85" s="117">
        <v>0</v>
      </c>
      <c r="AK85" s="117">
        <v>0</v>
      </c>
      <c r="AL85" s="117">
        <v>0</v>
      </c>
      <c r="AM85" s="117">
        <v>0</v>
      </c>
      <c r="AN85" s="117">
        <v>0</v>
      </c>
      <c r="AO85" s="150"/>
      <c r="AP85" s="117">
        <v>0</v>
      </c>
      <c r="AQ85" s="117">
        <v>0</v>
      </c>
      <c r="AR85" s="117">
        <v>0</v>
      </c>
      <c r="AS85" s="117">
        <v>0</v>
      </c>
      <c r="AT85" s="117">
        <v>0</v>
      </c>
      <c r="AU85" s="117">
        <v>0</v>
      </c>
      <c r="AV85" s="117">
        <v>0</v>
      </c>
      <c r="AW85" s="117">
        <v>0</v>
      </c>
      <c r="AX85" s="117">
        <v>0</v>
      </c>
      <c r="AY85" s="117">
        <v>0</v>
      </c>
      <c r="AZ85" s="117">
        <v>0</v>
      </c>
      <c r="BA85" s="117">
        <v>0</v>
      </c>
    </row>
    <row r="86" spans="1:53" s="138" customFormat="1" outlineLevel="2" x14ac:dyDescent="0.25">
      <c r="A86" s="138" t="s">
        <v>378</v>
      </c>
      <c r="B86" s="139" t="s">
        <v>379</v>
      </c>
      <c r="C86" s="140" t="s">
        <v>380</v>
      </c>
      <c r="D86" s="141"/>
      <c r="E86" s="142"/>
      <c r="F86" s="143">
        <v>2017.69</v>
      </c>
      <c r="G86" s="143">
        <v>3883.87</v>
      </c>
      <c r="H86" s="144">
        <f t="shared" si="8"/>
        <v>-1866.1799999999998</v>
      </c>
      <c r="I86" s="145">
        <f t="shared" si="9"/>
        <v>-0.4804949702229992</v>
      </c>
      <c r="J86" s="146"/>
      <c r="K86" s="143">
        <v>3371.27</v>
      </c>
      <c r="L86" s="143">
        <v>9070.39</v>
      </c>
      <c r="M86" s="144">
        <f t="shared" si="10"/>
        <v>-5699.119999999999</v>
      </c>
      <c r="N86" s="145">
        <f t="shared" si="11"/>
        <v>-0.62832138419626937</v>
      </c>
      <c r="O86" s="147"/>
      <c r="P86" s="146"/>
      <c r="Q86" s="143">
        <v>3100.25</v>
      </c>
      <c r="R86" s="143">
        <v>13871.38</v>
      </c>
      <c r="S86" s="144">
        <f t="shared" si="12"/>
        <v>-10771.13</v>
      </c>
      <c r="T86" s="145">
        <f t="shared" si="13"/>
        <v>-0.77650024727172062</v>
      </c>
      <c r="U86" s="146"/>
      <c r="V86" s="143">
        <v>-50187.520000000004</v>
      </c>
      <c r="W86" s="143">
        <v>44835.43</v>
      </c>
      <c r="X86" s="144">
        <f t="shared" si="14"/>
        <v>-95022.950000000012</v>
      </c>
      <c r="Y86" s="145">
        <f t="shared" si="15"/>
        <v>-2.1193718895971334</v>
      </c>
      <c r="Z86" s="148"/>
      <c r="AA86" s="149">
        <v>4800.99</v>
      </c>
      <c r="AB86" s="150"/>
      <c r="AC86" s="117">
        <v>5186.5200000000004</v>
      </c>
      <c r="AD86" s="117">
        <v>3883.87</v>
      </c>
      <c r="AE86" s="117">
        <v>4933.1900000000005</v>
      </c>
      <c r="AF86" s="117">
        <v>4541.1400000000003</v>
      </c>
      <c r="AG86" s="117">
        <v>4427</v>
      </c>
      <c r="AH86" s="117">
        <v>-63345.04</v>
      </c>
      <c r="AI86" s="117">
        <v>-270.78000000000003</v>
      </c>
      <c r="AJ86" s="117">
        <v>-1960.77</v>
      </c>
      <c r="AK86" s="117">
        <v>-248.38</v>
      </c>
      <c r="AL86" s="117">
        <v>-693.48</v>
      </c>
      <c r="AM86" s="117">
        <v>-670.65</v>
      </c>
      <c r="AN86" s="117">
        <v>-271.02</v>
      </c>
      <c r="AO86" s="150"/>
      <c r="AP86" s="117">
        <v>1353.58</v>
      </c>
      <c r="AQ86" s="117">
        <v>2017.69</v>
      </c>
      <c r="AR86" s="117">
        <v>-9923.43</v>
      </c>
      <c r="AS86" s="117">
        <v>0</v>
      </c>
      <c r="AT86" s="117">
        <v>0</v>
      </c>
      <c r="AU86" s="117">
        <v>0</v>
      </c>
      <c r="AV86" s="117">
        <v>0</v>
      </c>
      <c r="AW86" s="117">
        <v>0</v>
      </c>
      <c r="AX86" s="117">
        <v>0</v>
      </c>
      <c r="AY86" s="117">
        <v>0</v>
      </c>
      <c r="AZ86" s="117">
        <v>0</v>
      </c>
      <c r="BA86" s="117">
        <v>0</v>
      </c>
    </row>
    <row r="87" spans="1:53" s="138" customFormat="1" outlineLevel="2" x14ac:dyDescent="0.25">
      <c r="A87" s="138" t="s">
        <v>381</v>
      </c>
      <c r="B87" s="139" t="s">
        <v>382</v>
      </c>
      <c r="C87" s="140" t="s">
        <v>383</v>
      </c>
      <c r="D87" s="141"/>
      <c r="E87" s="142"/>
      <c r="F87" s="143">
        <v>0</v>
      </c>
      <c r="G87" s="143">
        <v>0</v>
      </c>
      <c r="H87" s="144">
        <f t="shared" si="8"/>
        <v>0</v>
      </c>
      <c r="I87" s="145">
        <f t="shared" si="9"/>
        <v>0</v>
      </c>
      <c r="J87" s="146"/>
      <c r="K87" s="143">
        <v>0</v>
      </c>
      <c r="L87" s="143">
        <v>0</v>
      </c>
      <c r="M87" s="144">
        <f t="shared" si="10"/>
        <v>0</v>
      </c>
      <c r="N87" s="145">
        <f t="shared" si="11"/>
        <v>0</v>
      </c>
      <c r="O87" s="147"/>
      <c r="P87" s="146"/>
      <c r="Q87" s="143">
        <v>0</v>
      </c>
      <c r="R87" s="143">
        <v>0</v>
      </c>
      <c r="S87" s="144">
        <f t="shared" si="12"/>
        <v>0</v>
      </c>
      <c r="T87" s="145">
        <f t="shared" si="13"/>
        <v>0</v>
      </c>
      <c r="U87" s="146"/>
      <c r="V87" s="143">
        <v>0</v>
      </c>
      <c r="W87" s="143">
        <v>12241.56</v>
      </c>
      <c r="X87" s="144">
        <f t="shared" si="14"/>
        <v>-12241.56</v>
      </c>
      <c r="Y87" s="145" t="str">
        <f t="shared" si="15"/>
        <v>N.M.</v>
      </c>
      <c r="Z87" s="148"/>
      <c r="AA87" s="149">
        <v>0</v>
      </c>
      <c r="AB87" s="150"/>
      <c r="AC87" s="117">
        <v>0</v>
      </c>
      <c r="AD87" s="117">
        <v>0</v>
      </c>
      <c r="AE87" s="117">
        <v>0</v>
      </c>
      <c r="AF87" s="117">
        <v>0</v>
      </c>
      <c r="AG87" s="117">
        <v>0</v>
      </c>
      <c r="AH87" s="117">
        <v>0</v>
      </c>
      <c r="AI87" s="117">
        <v>0</v>
      </c>
      <c r="AJ87" s="117">
        <v>0</v>
      </c>
      <c r="AK87" s="117">
        <v>0</v>
      </c>
      <c r="AL87" s="117">
        <v>0</v>
      </c>
      <c r="AM87" s="117">
        <v>0</v>
      </c>
      <c r="AN87" s="117">
        <v>0</v>
      </c>
      <c r="AO87" s="150"/>
      <c r="AP87" s="117">
        <v>0</v>
      </c>
      <c r="AQ87" s="117">
        <v>0</v>
      </c>
      <c r="AR87" s="117">
        <v>0</v>
      </c>
      <c r="AS87" s="117">
        <v>0</v>
      </c>
      <c r="AT87" s="117">
        <v>0</v>
      </c>
      <c r="AU87" s="117">
        <v>0</v>
      </c>
      <c r="AV87" s="117">
        <v>0</v>
      </c>
      <c r="AW87" s="117">
        <v>0</v>
      </c>
      <c r="AX87" s="117">
        <v>0</v>
      </c>
      <c r="AY87" s="117">
        <v>0</v>
      </c>
      <c r="AZ87" s="117">
        <v>0</v>
      </c>
      <c r="BA87" s="117">
        <v>0</v>
      </c>
    </row>
    <row r="88" spans="1:53" s="138" customFormat="1" outlineLevel="2" x14ac:dyDescent="0.25">
      <c r="A88" s="138" t="s">
        <v>384</v>
      </c>
      <c r="B88" s="139" t="s">
        <v>385</v>
      </c>
      <c r="C88" s="140" t="s">
        <v>386</v>
      </c>
      <c r="D88" s="141"/>
      <c r="E88" s="142"/>
      <c r="F88" s="143">
        <v>34479.29</v>
      </c>
      <c r="G88" s="143">
        <v>49766.65</v>
      </c>
      <c r="H88" s="144">
        <f t="shared" si="8"/>
        <v>-15287.36</v>
      </c>
      <c r="I88" s="145">
        <f t="shared" si="9"/>
        <v>-0.30718081285358767</v>
      </c>
      <c r="J88" s="146"/>
      <c r="K88" s="143">
        <v>86787.69</v>
      </c>
      <c r="L88" s="143">
        <v>107693.28</v>
      </c>
      <c r="M88" s="144">
        <f t="shared" si="10"/>
        <v>-20905.589999999997</v>
      </c>
      <c r="N88" s="145">
        <f t="shared" si="11"/>
        <v>-0.19412158307370708</v>
      </c>
      <c r="O88" s="147"/>
      <c r="P88" s="146"/>
      <c r="Q88" s="143">
        <v>130430.42000000001</v>
      </c>
      <c r="R88" s="143">
        <v>156409.4</v>
      </c>
      <c r="S88" s="144">
        <f t="shared" si="12"/>
        <v>-25978.979999999981</v>
      </c>
      <c r="T88" s="145">
        <f t="shared" si="13"/>
        <v>-0.16609602747660934</v>
      </c>
      <c r="U88" s="146"/>
      <c r="V88" s="143">
        <v>535143.05000000005</v>
      </c>
      <c r="W88" s="143">
        <v>577756.44999999995</v>
      </c>
      <c r="X88" s="144">
        <f t="shared" si="14"/>
        <v>-42613.399999999907</v>
      </c>
      <c r="Y88" s="145">
        <f t="shared" si="15"/>
        <v>-7.3756684152985072E-2</v>
      </c>
      <c r="Z88" s="148"/>
      <c r="AA88" s="149">
        <v>48716.12</v>
      </c>
      <c r="AB88" s="150"/>
      <c r="AC88" s="117">
        <v>57926.630000000005</v>
      </c>
      <c r="AD88" s="117">
        <v>49766.65</v>
      </c>
      <c r="AE88" s="117">
        <v>45925.590000000004</v>
      </c>
      <c r="AF88" s="117">
        <v>40501.270000000004</v>
      </c>
      <c r="AG88" s="117">
        <v>31527.54</v>
      </c>
      <c r="AH88" s="117">
        <v>51793.29</v>
      </c>
      <c r="AI88" s="117">
        <v>48693.340000000004</v>
      </c>
      <c r="AJ88" s="117">
        <v>59408.04</v>
      </c>
      <c r="AK88" s="117">
        <v>39974.06</v>
      </c>
      <c r="AL88" s="117">
        <v>40530.959999999999</v>
      </c>
      <c r="AM88" s="117">
        <v>46358.54</v>
      </c>
      <c r="AN88" s="117">
        <v>43642.73</v>
      </c>
      <c r="AO88" s="150"/>
      <c r="AP88" s="117">
        <v>52308.4</v>
      </c>
      <c r="AQ88" s="117">
        <v>34479.29</v>
      </c>
      <c r="AR88" s="117">
        <v>-2517.59</v>
      </c>
      <c r="AS88" s="117">
        <v>0</v>
      </c>
      <c r="AT88" s="117">
        <v>0</v>
      </c>
      <c r="AU88" s="117">
        <v>0</v>
      </c>
      <c r="AV88" s="117">
        <v>0</v>
      </c>
      <c r="AW88" s="117">
        <v>0</v>
      </c>
      <c r="AX88" s="117">
        <v>0</v>
      </c>
      <c r="AY88" s="117">
        <v>0</v>
      </c>
      <c r="AZ88" s="117">
        <v>0</v>
      </c>
      <c r="BA88" s="117">
        <v>0</v>
      </c>
    </row>
    <row r="89" spans="1:53" s="138" customFormat="1" outlineLevel="2" x14ac:dyDescent="0.25">
      <c r="A89" s="138" t="s">
        <v>387</v>
      </c>
      <c r="B89" s="139" t="s">
        <v>388</v>
      </c>
      <c r="C89" s="140" t="s">
        <v>389</v>
      </c>
      <c r="D89" s="141"/>
      <c r="E89" s="142"/>
      <c r="F89" s="143">
        <v>11438.42</v>
      </c>
      <c r="G89" s="143">
        <v>10871.83</v>
      </c>
      <c r="H89" s="144">
        <f t="shared" si="8"/>
        <v>566.59000000000015</v>
      </c>
      <c r="I89" s="145">
        <f t="shared" si="9"/>
        <v>5.2115421230832355E-2</v>
      </c>
      <c r="J89" s="146"/>
      <c r="K89" s="143">
        <v>22240.799999999999</v>
      </c>
      <c r="L89" s="143">
        <v>23277.91</v>
      </c>
      <c r="M89" s="144">
        <f t="shared" si="10"/>
        <v>-1037.1100000000006</v>
      </c>
      <c r="N89" s="145">
        <f t="shared" si="11"/>
        <v>-4.4553398479502695E-2</v>
      </c>
      <c r="O89" s="147"/>
      <c r="P89" s="146"/>
      <c r="Q89" s="143">
        <v>35684.68</v>
      </c>
      <c r="R89" s="143">
        <v>29299.82</v>
      </c>
      <c r="S89" s="144">
        <f t="shared" si="12"/>
        <v>6384.8600000000006</v>
      </c>
      <c r="T89" s="145">
        <f t="shared" si="13"/>
        <v>0.21791464930501281</v>
      </c>
      <c r="U89" s="146"/>
      <c r="V89" s="143">
        <v>136202.74</v>
      </c>
      <c r="W89" s="143">
        <v>187384.78</v>
      </c>
      <c r="X89" s="144">
        <f t="shared" si="14"/>
        <v>-51182.040000000008</v>
      </c>
      <c r="Y89" s="145">
        <f t="shared" si="15"/>
        <v>-0.27313872556778629</v>
      </c>
      <c r="Z89" s="148"/>
      <c r="AA89" s="149">
        <v>6021.91</v>
      </c>
      <c r="AB89" s="150"/>
      <c r="AC89" s="117">
        <v>12406.08</v>
      </c>
      <c r="AD89" s="117">
        <v>10871.83</v>
      </c>
      <c r="AE89" s="117">
        <v>9778.27</v>
      </c>
      <c r="AF89" s="117">
        <v>9770.08</v>
      </c>
      <c r="AG89" s="117">
        <v>9578.6</v>
      </c>
      <c r="AH89" s="117">
        <v>20621.490000000002</v>
      </c>
      <c r="AI89" s="117">
        <v>5203.08</v>
      </c>
      <c r="AJ89" s="117">
        <v>13030.720000000001</v>
      </c>
      <c r="AK89" s="117">
        <v>11784.5</v>
      </c>
      <c r="AL89" s="117">
        <v>11387.27</v>
      </c>
      <c r="AM89" s="117">
        <v>9364.0500000000011</v>
      </c>
      <c r="AN89" s="117">
        <v>13443.880000000001</v>
      </c>
      <c r="AO89" s="150"/>
      <c r="AP89" s="117">
        <v>10802.380000000001</v>
      </c>
      <c r="AQ89" s="117">
        <v>11438.42</v>
      </c>
      <c r="AR89" s="117">
        <v>-10457.02</v>
      </c>
      <c r="AS89" s="117">
        <v>0</v>
      </c>
      <c r="AT89" s="117">
        <v>0</v>
      </c>
      <c r="AU89" s="117">
        <v>0</v>
      </c>
      <c r="AV89" s="117">
        <v>0</v>
      </c>
      <c r="AW89" s="117">
        <v>0</v>
      </c>
      <c r="AX89" s="117">
        <v>0</v>
      </c>
      <c r="AY89" s="117">
        <v>0</v>
      </c>
      <c r="AZ89" s="117">
        <v>0</v>
      </c>
      <c r="BA89" s="117">
        <v>0</v>
      </c>
    </row>
    <row r="90" spans="1:53" s="138" customFormat="1" outlineLevel="2" x14ac:dyDescent="0.25">
      <c r="A90" s="138" t="s">
        <v>390</v>
      </c>
      <c r="B90" s="139" t="s">
        <v>391</v>
      </c>
      <c r="C90" s="140" t="s">
        <v>392</v>
      </c>
      <c r="D90" s="141"/>
      <c r="E90" s="142"/>
      <c r="F90" s="143">
        <v>385968.61</v>
      </c>
      <c r="G90" s="143">
        <v>482456.77</v>
      </c>
      <c r="H90" s="144">
        <f t="shared" si="8"/>
        <v>-96488.160000000033</v>
      </c>
      <c r="I90" s="145">
        <f t="shared" si="9"/>
        <v>-0.19999337971773104</v>
      </c>
      <c r="J90" s="146"/>
      <c r="K90" s="143">
        <v>813283.22</v>
      </c>
      <c r="L90" s="143">
        <v>998181.48</v>
      </c>
      <c r="M90" s="144">
        <f t="shared" si="10"/>
        <v>-184898.26</v>
      </c>
      <c r="N90" s="145">
        <f t="shared" si="11"/>
        <v>-0.18523511375907317</v>
      </c>
      <c r="O90" s="147"/>
      <c r="P90" s="146"/>
      <c r="Q90" s="143">
        <v>1284578.3</v>
      </c>
      <c r="R90" s="143">
        <v>1545338.52</v>
      </c>
      <c r="S90" s="144">
        <f t="shared" si="12"/>
        <v>-260760.21999999997</v>
      </c>
      <c r="T90" s="145">
        <f t="shared" si="13"/>
        <v>-0.16873986937179303</v>
      </c>
      <c r="U90" s="146"/>
      <c r="V90" s="143">
        <v>5640212.1600000001</v>
      </c>
      <c r="W90" s="143">
        <v>8959770.4800000004</v>
      </c>
      <c r="X90" s="144">
        <f t="shared" si="14"/>
        <v>-3319558.3200000003</v>
      </c>
      <c r="Y90" s="145">
        <f t="shared" si="15"/>
        <v>-0.37049591029255918</v>
      </c>
      <c r="Z90" s="148"/>
      <c r="AA90" s="149">
        <v>547157.04</v>
      </c>
      <c r="AB90" s="150"/>
      <c r="AC90" s="117">
        <v>515724.71</v>
      </c>
      <c r="AD90" s="117">
        <v>482456.77</v>
      </c>
      <c r="AE90" s="117">
        <v>515649.31</v>
      </c>
      <c r="AF90" s="117">
        <v>499090.84</v>
      </c>
      <c r="AG90" s="117">
        <v>515724.69</v>
      </c>
      <c r="AH90" s="117">
        <v>499090.94</v>
      </c>
      <c r="AI90" s="117">
        <v>471299.12</v>
      </c>
      <c r="AJ90" s="117">
        <v>471295.09</v>
      </c>
      <c r="AK90" s="117">
        <v>456094.39</v>
      </c>
      <c r="AL90" s="117">
        <v>471295.09</v>
      </c>
      <c r="AM90" s="117">
        <v>456094.39</v>
      </c>
      <c r="AN90" s="117">
        <v>471295.08</v>
      </c>
      <c r="AO90" s="150"/>
      <c r="AP90" s="117">
        <v>427314.61</v>
      </c>
      <c r="AQ90" s="117">
        <v>385968.61</v>
      </c>
      <c r="AR90" s="117">
        <v>-385896.26</v>
      </c>
      <c r="AS90" s="117">
        <v>0</v>
      </c>
      <c r="AT90" s="117">
        <v>0</v>
      </c>
      <c r="AU90" s="117">
        <v>0</v>
      </c>
      <c r="AV90" s="117">
        <v>0</v>
      </c>
      <c r="AW90" s="117">
        <v>0</v>
      </c>
      <c r="AX90" s="117">
        <v>0</v>
      </c>
      <c r="AY90" s="117">
        <v>0</v>
      </c>
      <c r="AZ90" s="117">
        <v>0</v>
      </c>
      <c r="BA90" s="117">
        <v>0</v>
      </c>
    </row>
    <row r="91" spans="1:53" s="138" customFormat="1" outlineLevel="2" x14ac:dyDescent="0.25">
      <c r="A91" s="138" t="s">
        <v>393</v>
      </c>
      <c r="B91" s="139" t="s">
        <v>394</v>
      </c>
      <c r="C91" s="140" t="s">
        <v>395</v>
      </c>
      <c r="D91" s="141"/>
      <c r="E91" s="142"/>
      <c r="F91" s="143">
        <v>4231.5</v>
      </c>
      <c r="G91" s="143">
        <v>5208</v>
      </c>
      <c r="H91" s="144">
        <f t="shared" si="8"/>
        <v>-976.5</v>
      </c>
      <c r="I91" s="145">
        <f t="shared" si="9"/>
        <v>-0.1875</v>
      </c>
      <c r="J91" s="146"/>
      <c r="K91" s="143">
        <v>9361.5</v>
      </c>
      <c r="L91" s="143">
        <v>11673</v>
      </c>
      <c r="M91" s="144">
        <f t="shared" si="10"/>
        <v>-2311.5</v>
      </c>
      <c r="N91" s="145">
        <f t="shared" si="11"/>
        <v>-0.19802107427396556</v>
      </c>
      <c r="O91" s="147"/>
      <c r="P91" s="146"/>
      <c r="Q91" s="143">
        <v>14911.5</v>
      </c>
      <c r="R91" s="143">
        <v>16089</v>
      </c>
      <c r="S91" s="144">
        <f t="shared" si="12"/>
        <v>-1177.5</v>
      </c>
      <c r="T91" s="145">
        <f t="shared" si="13"/>
        <v>-7.3186649263471931E-2</v>
      </c>
      <c r="U91" s="146"/>
      <c r="V91" s="143">
        <v>53041.5</v>
      </c>
      <c r="W91" s="143">
        <v>53658</v>
      </c>
      <c r="X91" s="144">
        <f t="shared" si="14"/>
        <v>-616.5</v>
      </c>
      <c r="Y91" s="145">
        <f t="shared" si="15"/>
        <v>-1.1489433076148943E-2</v>
      </c>
      <c r="Z91" s="148"/>
      <c r="AA91" s="149">
        <v>4416</v>
      </c>
      <c r="AB91" s="150"/>
      <c r="AC91" s="117">
        <v>6465</v>
      </c>
      <c r="AD91" s="117">
        <v>5208</v>
      </c>
      <c r="AE91" s="117">
        <v>4143</v>
      </c>
      <c r="AF91" s="117">
        <v>3628.5</v>
      </c>
      <c r="AG91" s="117">
        <v>3670.5</v>
      </c>
      <c r="AH91" s="117">
        <v>4371</v>
      </c>
      <c r="AI91" s="117">
        <v>4879.5</v>
      </c>
      <c r="AJ91" s="117">
        <v>5434.5</v>
      </c>
      <c r="AK91" s="117">
        <v>4245</v>
      </c>
      <c r="AL91" s="117">
        <v>3487.5</v>
      </c>
      <c r="AM91" s="117">
        <v>4270.5</v>
      </c>
      <c r="AN91" s="117">
        <v>5550</v>
      </c>
      <c r="AO91" s="150"/>
      <c r="AP91" s="117">
        <v>5130</v>
      </c>
      <c r="AQ91" s="117">
        <v>4231.5</v>
      </c>
      <c r="AR91" s="117">
        <v>0</v>
      </c>
      <c r="AS91" s="117">
        <v>0</v>
      </c>
      <c r="AT91" s="117">
        <v>0</v>
      </c>
      <c r="AU91" s="117">
        <v>0</v>
      </c>
      <c r="AV91" s="117">
        <v>0</v>
      </c>
      <c r="AW91" s="117">
        <v>0</v>
      </c>
      <c r="AX91" s="117">
        <v>0</v>
      </c>
      <c r="AY91" s="117">
        <v>0</v>
      </c>
      <c r="AZ91" s="117">
        <v>0</v>
      </c>
      <c r="BA91" s="117">
        <v>0</v>
      </c>
    </row>
    <row r="92" spans="1:53" s="138" customFormat="1" outlineLevel="2" x14ac:dyDescent="0.25">
      <c r="A92" s="138" t="s">
        <v>396</v>
      </c>
      <c r="B92" s="139" t="s">
        <v>397</v>
      </c>
      <c r="C92" s="140" t="s">
        <v>398</v>
      </c>
      <c r="D92" s="141"/>
      <c r="E92" s="142"/>
      <c r="F92" s="143">
        <v>545.34</v>
      </c>
      <c r="G92" s="143">
        <v>348.42</v>
      </c>
      <c r="H92" s="144">
        <f t="shared" si="8"/>
        <v>196.92000000000002</v>
      </c>
      <c r="I92" s="145">
        <f t="shared" si="9"/>
        <v>0.56517995522645081</v>
      </c>
      <c r="J92" s="146"/>
      <c r="K92" s="143">
        <v>172.06</v>
      </c>
      <c r="L92" s="143">
        <v>1419.78</v>
      </c>
      <c r="M92" s="144">
        <f t="shared" si="10"/>
        <v>-1247.72</v>
      </c>
      <c r="N92" s="145">
        <f t="shared" si="11"/>
        <v>-0.8788122103424475</v>
      </c>
      <c r="O92" s="147"/>
      <c r="P92" s="146"/>
      <c r="Q92" s="143">
        <v>1267.74</v>
      </c>
      <c r="R92" s="143">
        <v>2776.52</v>
      </c>
      <c r="S92" s="144">
        <f t="shared" si="12"/>
        <v>-1508.78</v>
      </c>
      <c r="T92" s="145">
        <f t="shared" si="13"/>
        <v>-0.54340685462377358</v>
      </c>
      <c r="U92" s="146"/>
      <c r="V92" s="143">
        <v>7000.6</v>
      </c>
      <c r="W92" s="143">
        <v>7668.14</v>
      </c>
      <c r="X92" s="144">
        <f t="shared" si="14"/>
        <v>-667.54</v>
      </c>
      <c r="Y92" s="145">
        <f t="shared" si="15"/>
        <v>-8.7053705331410214E-2</v>
      </c>
      <c r="Z92" s="148"/>
      <c r="AA92" s="149">
        <v>1356.74</v>
      </c>
      <c r="AB92" s="150"/>
      <c r="AC92" s="117">
        <v>1071.3600000000001</v>
      </c>
      <c r="AD92" s="117">
        <v>348.42</v>
      </c>
      <c r="AE92" s="117">
        <v>-583.82000000000005</v>
      </c>
      <c r="AF92" s="117">
        <v>375.12</v>
      </c>
      <c r="AG92" s="117">
        <v>779.28</v>
      </c>
      <c r="AH92" s="117">
        <v>618.54</v>
      </c>
      <c r="AI92" s="117">
        <v>1576.78</v>
      </c>
      <c r="AJ92" s="117">
        <v>110.2</v>
      </c>
      <c r="AK92" s="117">
        <v>437.28000000000003</v>
      </c>
      <c r="AL92" s="117">
        <v>735.12</v>
      </c>
      <c r="AM92" s="117">
        <v>1684.3600000000001</v>
      </c>
      <c r="AN92" s="117">
        <v>1095.68</v>
      </c>
      <c r="AO92" s="150"/>
      <c r="AP92" s="117">
        <v>-373.28000000000003</v>
      </c>
      <c r="AQ92" s="117">
        <v>545.34</v>
      </c>
      <c r="AR92" s="117">
        <v>-478.92</v>
      </c>
      <c r="AS92" s="117">
        <v>0</v>
      </c>
      <c r="AT92" s="117">
        <v>0</v>
      </c>
      <c r="AU92" s="117">
        <v>0</v>
      </c>
      <c r="AV92" s="117">
        <v>0</v>
      </c>
      <c r="AW92" s="117">
        <v>0</v>
      </c>
      <c r="AX92" s="117">
        <v>0</v>
      </c>
      <c r="AY92" s="117">
        <v>0</v>
      </c>
      <c r="AZ92" s="117">
        <v>0</v>
      </c>
      <c r="BA92" s="117">
        <v>0</v>
      </c>
    </row>
    <row r="93" spans="1:53" s="138" customFormat="1" outlineLevel="2" x14ac:dyDescent="0.25">
      <c r="A93" s="138" t="s">
        <v>399</v>
      </c>
      <c r="B93" s="139" t="s">
        <v>400</v>
      </c>
      <c r="C93" s="140" t="s">
        <v>401</v>
      </c>
      <c r="D93" s="141"/>
      <c r="E93" s="142"/>
      <c r="F93" s="143">
        <v>191985.21</v>
      </c>
      <c r="G93" s="143">
        <v>198996.48000000001</v>
      </c>
      <c r="H93" s="144">
        <f t="shared" si="8"/>
        <v>-7011.2700000000186</v>
      </c>
      <c r="I93" s="145">
        <f t="shared" si="9"/>
        <v>-3.5233135782100355E-2</v>
      </c>
      <c r="J93" s="146"/>
      <c r="K93" s="143">
        <v>404540.26</v>
      </c>
      <c r="L93" s="143">
        <v>411716.87</v>
      </c>
      <c r="M93" s="144">
        <f t="shared" si="10"/>
        <v>-7176.609999999986</v>
      </c>
      <c r="N93" s="145">
        <f t="shared" si="11"/>
        <v>-1.7430935001521763E-2</v>
      </c>
      <c r="O93" s="147"/>
      <c r="P93" s="146"/>
      <c r="Q93" s="143">
        <v>598933.89</v>
      </c>
      <c r="R93" s="143">
        <v>622645.15</v>
      </c>
      <c r="S93" s="144">
        <f t="shared" si="12"/>
        <v>-23711.260000000009</v>
      </c>
      <c r="T93" s="145">
        <f t="shared" si="13"/>
        <v>-3.8081497944696119E-2</v>
      </c>
      <c r="U93" s="146"/>
      <c r="V93" s="143">
        <v>2395518.17</v>
      </c>
      <c r="W93" s="143">
        <v>2578519.0300000003</v>
      </c>
      <c r="X93" s="144">
        <f t="shared" si="14"/>
        <v>-183000.86000000034</v>
      </c>
      <c r="Y93" s="145">
        <f t="shared" si="15"/>
        <v>-7.0971304795838686E-2</v>
      </c>
      <c r="Z93" s="148"/>
      <c r="AA93" s="149">
        <v>210928.28</v>
      </c>
      <c r="AB93" s="150"/>
      <c r="AC93" s="117">
        <v>212720.39</v>
      </c>
      <c r="AD93" s="117">
        <v>198996.48000000001</v>
      </c>
      <c r="AE93" s="117">
        <v>212720.39</v>
      </c>
      <c r="AF93" s="117">
        <v>205858.44</v>
      </c>
      <c r="AG93" s="117">
        <v>212720.39</v>
      </c>
      <c r="AH93" s="117">
        <v>205858.42</v>
      </c>
      <c r="AI93" s="117">
        <v>194393.64</v>
      </c>
      <c r="AJ93" s="117">
        <v>194393.63</v>
      </c>
      <c r="AK93" s="117">
        <v>188122.87</v>
      </c>
      <c r="AL93" s="117">
        <v>194393.63</v>
      </c>
      <c r="AM93" s="117">
        <v>188122.87</v>
      </c>
      <c r="AN93" s="117">
        <v>194393.63</v>
      </c>
      <c r="AO93" s="150"/>
      <c r="AP93" s="117">
        <v>212555.05000000002</v>
      </c>
      <c r="AQ93" s="117">
        <v>191985.21</v>
      </c>
      <c r="AR93" s="117">
        <v>-191985.21</v>
      </c>
      <c r="AS93" s="117">
        <v>0</v>
      </c>
      <c r="AT93" s="117">
        <v>0</v>
      </c>
      <c r="AU93" s="117">
        <v>0</v>
      </c>
      <c r="AV93" s="117">
        <v>0</v>
      </c>
      <c r="AW93" s="117">
        <v>0</v>
      </c>
      <c r="AX93" s="117">
        <v>0</v>
      </c>
      <c r="AY93" s="117">
        <v>0</v>
      </c>
      <c r="AZ93" s="117">
        <v>0</v>
      </c>
      <c r="BA93" s="117">
        <v>0</v>
      </c>
    </row>
    <row r="94" spans="1:53" s="138" customFormat="1" outlineLevel="2" x14ac:dyDescent="0.25">
      <c r="A94" s="138" t="s">
        <v>402</v>
      </c>
      <c r="B94" s="139" t="s">
        <v>403</v>
      </c>
      <c r="C94" s="140" t="s">
        <v>404</v>
      </c>
      <c r="D94" s="141"/>
      <c r="E94" s="142"/>
      <c r="F94" s="143">
        <v>3305.9900000000002</v>
      </c>
      <c r="G94" s="143">
        <v>3920.26</v>
      </c>
      <c r="H94" s="144">
        <f t="shared" si="8"/>
        <v>-614.27</v>
      </c>
      <c r="I94" s="145">
        <f t="shared" si="9"/>
        <v>-0.15669113783269475</v>
      </c>
      <c r="J94" s="146"/>
      <c r="K94" s="143">
        <v>7048.9800000000005</v>
      </c>
      <c r="L94" s="143">
        <v>8966.58</v>
      </c>
      <c r="M94" s="144">
        <f t="shared" si="10"/>
        <v>-1917.5999999999995</v>
      </c>
      <c r="N94" s="145">
        <f t="shared" si="11"/>
        <v>-0.2138608031155691</v>
      </c>
      <c r="O94" s="147"/>
      <c r="P94" s="146"/>
      <c r="Q94" s="143">
        <v>10907.48</v>
      </c>
      <c r="R94" s="143">
        <v>12916.75</v>
      </c>
      <c r="S94" s="144">
        <f t="shared" si="12"/>
        <v>-2009.2700000000004</v>
      </c>
      <c r="T94" s="145">
        <f t="shared" si="13"/>
        <v>-0.15555538351365478</v>
      </c>
      <c r="U94" s="146"/>
      <c r="V94" s="143">
        <v>45469.210000000006</v>
      </c>
      <c r="W94" s="143">
        <v>50089.62</v>
      </c>
      <c r="X94" s="144">
        <f t="shared" si="14"/>
        <v>-4620.4099999999962</v>
      </c>
      <c r="Y94" s="145">
        <f t="shared" si="15"/>
        <v>-9.2242863890762111E-2</v>
      </c>
      <c r="Z94" s="148"/>
      <c r="AA94" s="149">
        <v>3950.17</v>
      </c>
      <c r="AB94" s="150"/>
      <c r="AC94" s="117">
        <v>5046.32</v>
      </c>
      <c r="AD94" s="117">
        <v>3920.26</v>
      </c>
      <c r="AE94" s="117">
        <v>3810.42</v>
      </c>
      <c r="AF94" s="117">
        <v>3665.31</v>
      </c>
      <c r="AG94" s="117">
        <v>3755.39</v>
      </c>
      <c r="AH94" s="117">
        <v>3755.38</v>
      </c>
      <c r="AI94" s="117">
        <v>4444.99</v>
      </c>
      <c r="AJ94" s="117">
        <v>4235.58</v>
      </c>
      <c r="AK94" s="117">
        <v>3803.28</v>
      </c>
      <c r="AL94" s="117">
        <v>3586</v>
      </c>
      <c r="AM94" s="117">
        <v>3505.38</v>
      </c>
      <c r="AN94" s="117">
        <v>3858.5</v>
      </c>
      <c r="AO94" s="150"/>
      <c r="AP94" s="117">
        <v>3742.9900000000002</v>
      </c>
      <c r="AQ94" s="117">
        <v>3305.9900000000002</v>
      </c>
      <c r="AR94" s="117">
        <v>-3304.86</v>
      </c>
      <c r="AS94" s="117">
        <v>0</v>
      </c>
      <c r="AT94" s="117">
        <v>0</v>
      </c>
      <c r="AU94" s="117">
        <v>0</v>
      </c>
      <c r="AV94" s="117">
        <v>0</v>
      </c>
      <c r="AW94" s="117">
        <v>0</v>
      </c>
      <c r="AX94" s="117">
        <v>0</v>
      </c>
      <c r="AY94" s="117">
        <v>0</v>
      </c>
      <c r="AZ94" s="117">
        <v>0</v>
      </c>
      <c r="BA94" s="117">
        <v>0</v>
      </c>
    </row>
    <row r="95" spans="1:53" s="138" customFormat="1" outlineLevel="2" x14ac:dyDescent="0.25">
      <c r="A95" s="138" t="s">
        <v>405</v>
      </c>
      <c r="B95" s="139" t="s">
        <v>406</v>
      </c>
      <c r="C95" s="140" t="s">
        <v>407</v>
      </c>
      <c r="D95" s="141"/>
      <c r="E95" s="142"/>
      <c r="F95" s="143">
        <v>3286876.17</v>
      </c>
      <c r="G95" s="143">
        <v>4123982.98</v>
      </c>
      <c r="H95" s="144">
        <f t="shared" si="8"/>
        <v>-837106.81</v>
      </c>
      <c r="I95" s="145">
        <f t="shared" si="9"/>
        <v>-0.20298503026314624</v>
      </c>
      <c r="J95" s="146"/>
      <c r="K95" s="143">
        <v>6925917.6399999997</v>
      </c>
      <c r="L95" s="143">
        <v>8532378.7400000002</v>
      </c>
      <c r="M95" s="144">
        <f t="shared" si="10"/>
        <v>-1606461.1000000006</v>
      </c>
      <c r="N95" s="145">
        <f t="shared" si="11"/>
        <v>-0.18827822216433873</v>
      </c>
      <c r="O95" s="147"/>
      <c r="P95" s="146"/>
      <c r="Q95" s="143">
        <v>10954511.52</v>
      </c>
      <c r="R95" s="143">
        <v>12859168.74</v>
      </c>
      <c r="S95" s="144">
        <f t="shared" si="12"/>
        <v>-1904657.2200000007</v>
      </c>
      <c r="T95" s="145">
        <f t="shared" si="13"/>
        <v>-0.14811666745419819</v>
      </c>
      <c r="U95" s="146"/>
      <c r="V95" s="143">
        <v>48186742.039999999</v>
      </c>
      <c r="W95" s="143">
        <v>50639407.433000006</v>
      </c>
      <c r="X95" s="144">
        <f t="shared" si="14"/>
        <v>-2452665.3930000067</v>
      </c>
      <c r="Y95" s="145">
        <f t="shared" si="15"/>
        <v>-4.843392759374366E-2</v>
      </c>
      <c r="Z95" s="148"/>
      <c r="AA95" s="149">
        <v>4326790</v>
      </c>
      <c r="AB95" s="150"/>
      <c r="AC95" s="117">
        <v>4408395.76</v>
      </c>
      <c r="AD95" s="117">
        <v>4123982.98</v>
      </c>
      <c r="AE95" s="117">
        <v>4408395.76</v>
      </c>
      <c r="AF95" s="117">
        <v>4266189.45</v>
      </c>
      <c r="AG95" s="117">
        <v>4408395.76</v>
      </c>
      <c r="AH95" s="117">
        <v>4266189.45</v>
      </c>
      <c r="AI95" s="117">
        <v>4028593.88</v>
      </c>
      <c r="AJ95" s="117">
        <v>4028593.88</v>
      </c>
      <c r="AK95" s="117">
        <v>3898639.23</v>
      </c>
      <c r="AL95" s="117">
        <v>4028593.88</v>
      </c>
      <c r="AM95" s="117">
        <v>3898639.23</v>
      </c>
      <c r="AN95" s="117">
        <v>4028593.88</v>
      </c>
      <c r="AO95" s="150"/>
      <c r="AP95" s="117">
        <v>3639041.4699999997</v>
      </c>
      <c r="AQ95" s="117">
        <v>3286876.17</v>
      </c>
      <c r="AR95" s="117">
        <v>-3286876.17</v>
      </c>
      <c r="AS95" s="117">
        <v>0</v>
      </c>
      <c r="AT95" s="117">
        <v>0</v>
      </c>
      <c r="AU95" s="117">
        <v>0</v>
      </c>
      <c r="AV95" s="117">
        <v>0</v>
      </c>
      <c r="AW95" s="117">
        <v>0</v>
      </c>
      <c r="AX95" s="117">
        <v>0</v>
      </c>
      <c r="AY95" s="117">
        <v>0</v>
      </c>
      <c r="AZ95" s="117">
        <v>0</v>
      </c>
      <c r="BA95" s="117">
        <v>0</v>
      </c>
    </row>
    <row r="96" spans="1:53" s="138" customFormat="1" outlineLevel="2" x14ac:dyDescent="0.25">
      <c r="A96" s="138" t="s">
        <v>408</v>
      </c>
      <c r="B96" s="139" t="s">
        <v>409</v>
      </c>
      <c r="C96" s="140" t="s">
        <v>410</v>
      </c>
      <c r="D96" s="141"/>
      <c r="E96" s="142"/>
      <c r="F96" s="143">
        <v>58068</v>
      </c>
      <c r="G96" s="143">
        <v>69267.100000000006</v>
      </c>
      <c r="H96" s="144">
        <f t="shared" si="8"/>
        <v>-11199.100000000006</v>
      </c>
      <c r="I96" s="145">
        <f t="shared" si="9"/>
        <v>-0.16167993174248677</v>
      </c>
      <c r="J96" s="146"/>
      <c r="K96" s="143">
        <v>126601.99</v>
      </c>
      <c r="L96" s="143">
        <v>146361.47</v>
      </c>
      <c r="M96" s="144">
        <f t="shared" si="10"/>
        <v>-19759.479999999996</v>
      </c>
      <c r="N96" s="145">
        <f t="shared" si="11"/>
        <v>-0.13500465662171879</v>
      </c>
      <c r="O96" s="147"/>
      <c r="P96" s="146"/>
      <c r="Q96" s="143">
        <v>195566.82</v>
      </c>
      <c r="R96" s="143">
        <v>215974.72999999998</v>
      </c>
      <c r="S96" s="144">
        <f t="shared" si="12"/>
        <v>-20407.909999999974</v>
      </c>
      <c r="T96" s="145">
        <f t="shared" si="13"/>
        <v>-9.4492119517871259E-2</v>
      </c>
      <c r="U96" s="146"/>
      <c r="V96" s="143">
        <v>765702.24</v>
      </c>
      <c r="W96" s="143">
        <v>623120.57000000007</v>
      </c>
      <c r="X96" s="144">
        <f t="shared" si="14"/>
        <v>142581.66999999993</v>
      </c>
      <c r="Y96" s="145">
        <f t="shared" si="15"/>
        <v>0.22881875011765365</v>
      </c>
      <c r="Z96" s="148"/>
      <c r="AA96" s="149">
        <v>69613.259999999995</v>
      </c>
      <c r="AB96" s="150"/>
      <c r="AC96" s="117">
        <v>77094.37</v>
      </c>
      <c r="AD96" s="117">
        <v>69267.100000000006</v>
      </c>
      <c r="AE96" s="117">
        <v>63302.67</v>
      </c>
      <c r="AF96" s="117">
        <v>58886.01</v>
      </c>
      <c r="AG96" s="117">
        <v>60170.8</v>
      </c>
      <c r="AH96" s="117">
        <v>60170.75</v>
      </c>
      <c r="AI96" s="117">
        <v>77183.570000000007</v>
      </c>
      <c r="AJ96" s="117">
        <v>73647.56</v>
      </c>
      <c r="AK96" s="117">
        <v>62813.090000000004</v>
      </c>
      <c r="AL96" s="117">
        <v>55950.54</v>
      </c>
      <c r="AM96" s="117">
        <v>58010.43</v>
      </c>
      <c r="AN96" s="117">
        <v>68964.83</v>
      </c>
      <c r="AO96" s="150"/>
      <c r="AP96" s="117">
        <v>68533.990000000005</v>
      </c>
      <c r="AQ96" s="117">
        <v>58068</v>
      </c>
      <c r="AR96" s="117">
        <v>-57997.590000000004</v>
      </c>
      <c r="AS96" s="117">
        <v>0</v>
      </c>
      <c r="AT96" s="117">
        <v>0</v>
      </c>
      <c r="AU96" s="117">
        <v>0</v>
      </c>
      <c r="AV96" s="117">
        <v>0</v>
      </c>
      <c r="AW96" s="117">
        <v>0</v>
      </c>
      <c r="AX96" s="117">
        <v>0</v>
      </c>
      <c r="AY96" s="117">
        <v>0</v>
      </c>
      <c r="AZ96" s="117">
        <v>0</v>
      </c>
      <c r="BA96" s="117">
        <v>0</v>
      </c>
    </row>
    <row r="97" spans="1:53" s="138" customFormat="1" outlineLevel="2" x14ac:dyDescent="0.25">
      <c r="A97" s="138" t="s">
        <v>411</v>
      </c>
      <c r="B97" s="139" t="s">
        <v>412</v>
      </c>
      <c r="C97" s="140" t="s">
        <v>413</v>
      </c>
      <c r="D97" s="141"/>
      <c r="E97" s="142"/>
      <c r="F97" s="143">
        <v>-2669652.9300000002</v>
      </c>
      <c r="G97" s="143">
        <v>-3529977.71</v>
      </c>
      <c r="H97" s="144">
        <f t="shared" si="8"/>
        <v>860324.7799999998</v>
      </c>
      <c r="I97" s="145">
        <f t="shared" si="9"/>
        <v>0.24371960694335371</v>
      </c>
      <c r="J97" s="146"/>
      <c r="K97" s="143">
        <v>-5625340.0999999996</v>
      </c>
      <c r="L97" s="143">
        <v>-7303402.2999999998</v>
      </c>
      <c r="M97" s="144">
        <f t="shared" si="10"/>
        <v>1678062.2000000002</v>
      </c>
      <c r="N97" s="145">
        <f t="shared" si="11"/>
        <v>0.22976444827638759</v>
      </c>
      <c r="O97" s="147"/>
      <c r="P97" s="146"/>
      <c r="Q97" s="143">
        <v>-9265511.2599999998</v>
      </c>
      <c r="R97" s="143">
        <v>-10962586.789999999</v>
      </c>
      <c r="S97" s="144">
        <f t="shared" si="12"/>
        <v>1697075.5299999993</v>
      </c>
      <c r="T97" s="145">
        <f t="shared" si="13"/>
        <v>0.15480612035364325</v>
      </c>
      <c r="U97" s="146"/>
      <c r="V97" s="143">
        <v>-42081768.920000002</v>
      </c>
      <c r="W97" s="143">
        <v>-42705495.563999996</v>
      </c>
      <c r="X97" s="144">
        <f t="shared" si="14"/>
        <v>623726.6439999938</v>
      </c>
      <c r="Y97" s="145">
        <f t="shared" si="15"/>
        <v>1.4605301630682509E-2</v>
      </c>
      <c r="Z97" s="148"/>
      <c r="AA97" s="149">
        <v>-3659184.49</v>
      </c>
      <c r="AB97" s="150"/>
      <c r="AC97" s="117">
        <v>-3773424.59</v>
      </c>
      <c r="AD97" s="117">
        <v>-3529977.71</v>
      </c>
      <c r="AE97" s="117">
        <v>-3773424.59</v>
      </c>
      <c r="AF97" s="117">
        <v>-3651701.2199999997</v>
      </c>
      <c r="AG97" s="117">
        <v>-3773424.59</v>
      </c>
      <c r="AH97" s="117">
        <v>-3651701.2199999997</v>
      </c>
      <c r="AI97" s="117">
        <v>-3640171.16</v>
      </c>
      <c r="AJ97" s="117">
        <v>-3640171.16</v>
      </c>
      <c r="AK97" s="117">
        <v>-3522746.2800000003</v>
      </c>
      <c r="AL97" s="117">
        <v>-3640171.16</v>
      </c>
      <c r="AM97" s="117">
        <v>-3522746.2800000003</v>
      </c>
      <c r="AN97" s="117">
        <v>-3640171.16</v>
      </c>
      <c r="AO97" s="150"/>
      <c r="AP97" s="117">
        <v>-2955687.17</v>
      </c>
      <c r="AQ97" s="117">
        <v>-2669652.9300000002</v>
      </c>
      <c r="AR97" s="117">
        <v>2669652.9300000002</v>
      </c>
      <c r="AS97" s="117">
        <v>0</v>
      </c>
      <c r="AT97" s="117">
        <v>0</v>
      </c>
      <c r="AU97" s="117">
        <v>0</v>
      </c>
      <c r="AV97" s="117">
        <v>0</v>
      </c>
      <c r="AW97" s="117">
        <v>0</v>
      </c>
      <c r="AX97" s="117">
        <v>0</v>
      </c>
      <c r="AY97" s="117">
        <v>0</v>
      </c>
      <c r="AZ97" s="117">
        <v>0</v>
      </c>
      <c r="BA97" s="117">
        <v>0</v>
      </c>
    </row>
    <row r="98" spans="1:53" s="138" customFormat="1" outlineLevel="2" x14ac:dyDescent="0.25">
      <c r="A98" s="138" t="s">
        <v>414</v>
      </c>
      <c r="B98" s="139" t="s">
        <v>415</v>
      </c>
      <c r="C98" s="140" t="s">
        <v>416</v>
      </c>
      <c r="D98" s="141"/>
      <c r="E98" s="142"/>
      <c r="F98" s="143">
        <v>-45154.85</v>
      </c>
      <c r="G98" s="143">
        <v>-55424.19</v>
      </c>
      <c r="H98" s="144">
        <f t="shared" si="8"/>
        <v>10269.340000000004</v>
      </c>
      <c r="I98" s="145">
        <f t="shared" si="9"/>
        <v>0.18528624414718561</v>
      </c>
      <c r="J98" s="146"/>
      <c r="K98" s="143">
        <v>-98982.8</v>
      </c>
      <c r="L98" s="143">
        <v>-120657.16</v>
      </c>
      <c r="M98" s="144">
        <f t="shared" si="10"/>
        <v>21674.36</v>
      </c>
      <c r="N98" s="145">
        <f t="shared" si="11"/>
        <v>0.17963592048743729</v>
      </c>
      <c r="O98" s="147"/>
      <c r="P98" s="146"/>
      <c r="Q98" s="143">
        <v>-154572.27000000002</v>
      </c>
      <c r="R98" s="143">
        <v>-176482.31</v>
      </c>
      <c r="S98" s="144">
        <f t="shared" si="12"/>
        <v>21910.039999999979</v>
      </c>
      <c r="T98" s="145">
        <f t="shared" si="13"/>
        <v>0.12414864696637289</v>
      </c>
      <c r="U98" s="146"/>
      <c r="V98" s="143">
        <v>-566355.9</v>
      </c>
      <c r="W98" s="143">
        <v>-479297.19999999995</v>
      </c>
      <c r="X98" s="144">
        <f t="shared" si="14"/>
        <v>-87058.70000000007</v>
      </c>
      <c r="Y98" s="145">
        <f t="shared" si="15"/>
        <v>-0.18163824032354053</v>
      </c>
      <c r="Z98" s="148"/>
      <c r="AA98" s="149">
        <v>-55825.15</v>
      </c>
      <c r="AB98" s="150"/>
      <c r="AC98" s="117">
        <v>-65232.97</v>
      </c>
      <c r="AD98" s="117">
        <v>-55424.19</v>
      </c>
      <c r="AE98" s="117">
        <v>-47638.38</v>
      </c>
      <c r="AF98" s="117">
        <v>-42922.14</v>
      </c>
      <c r="AG98" s="117">
        <v>-43385.62</v>
      </c>
      <c r="AH98" s="117">
        <v>-43385.62</v>
      </c>
      <c r="AI98" s="117">
        <v>-52484.91</v>
      </c>
      <c r="AJ98" s="117">
        <v>-51800.05</v>
      </c>
      <c r="AK98" s="117">
        <v>-44624.01</v>
      </c>
      <c r="AL98" s="117">
        <v>-40225.129999999997</v>
      </c>
      <c r="AM98" s="117">
        <v>-45317.770000000004</v>
      </c>
      <c r="AN98" s="117">
        <v>-55589.47</v>
      </c>
      <c r="AO98" s="150"/>
      <c r="AP98" s="117">
        <v>-53827.950000000004</v>
      </c>
      <c r="AQ98" s="117">
        <v>-45154.85</v>
      </c>
      <c r="AR98" s="117">
        <v>45134.21</v>
      </c>
      <c r="AS98" s="117">
        <v>0</v>
      </c>
      <c r="AT98" s="117">
        <v>0</v>
      </c>
      <c r="AU98" s="117">
        <v>0</v>
      </c>
      <c r="AV98" s="117">
        <v>0</v>
      </c>
      <c r="AW98" s="117">
        <v>0</v>
      </c>
      <c r="AX98" s="117">
        <v>0</v>
      </c>
      <c r="AY98" s="117">
        <v>0</v>
      </c>
      <c r="AZ98" s="117">
        <v>0</v>
      </c>
      <c r="BA98" s="117">
        <v>0</v>
      </c>
    </row>
    <row r="99" spans="1:53" s="138" customFormat="1" outlineLevel="2" x14ac:dyDescent="0.25">
      <c r="A99" s="138" t="s">
        <v>417</v>
      </c>
      <c r="B99" s="139" t="s">
        <v>418</v>
      </c>
      <c r="C99" s="140" t="s">
        <v>419</v>
      </c>
      <c r="D99" s="141"/>
      <c r="E99" s="142"/>
      <c r="F99" s="143">
        <v>224233.77000000002</v>
      </c>
      <c r="G99" s="143">
        <v>63102.26</v>
      </c>
      <c r="H99" s="144">
        <f t="shared" si="8"/>
        <v>161131.51</v>
      </c>
      <c r="I99" s="145">
        <f t="shared" si="9"/>
        <v>2.5534982423767389</v>
      </c>
      <c r="J99" s="146"/>
      <c r="K99" s="143">
        <v>454252.79999999999</v>
      </c>
      <c r="L99" s="143">
        <v>126204.52</v>
      </c>
      <c r="M99" s="144">
        <f t="shared" si="10"/>
        <v>328048.27999999997</v>
      </c>
      <c r="N99" s="145">
        <f t="shared" si="11"/>
        <v>2.5993385973814562</v>
      </c>
      <c r="O99" s="147"/>
      <c r="P99" s="146"/>
      <c r="Q99" s="143">
        <v>682972.16000000003</v>
      </c>
      <c r="R99" s="143">
        <v>189725.33000000002</v>
      </c>
      <c r="S99" s="144">
        <f t="shared" si="12"/>
        <v>493246.83</v>
      </c>
      <c r="T99" s="145">
        <f t="shared" si="13"/>
        <v>2.5997942920958419</v>
      </c>
      <c r="U99" s="146"/>
      <c r="V99" s="143">
        <v>2078978.07</v>
      </c>
      <c r="W99" s="143">
        <v>774342.69000000006</v>
      </c>
      <c r="X99" s="144">
        <f t="shared" si="14"/>
        <v>1304635.3799999999</v>
      </c>
      <c r="Y99" s="145">
        <f t="shared" si="15"/>
        <v>1.6848294648458551</v>
      </c>
      <c r="Z99" s="148"/>
      <c r="AA99" s="149">
        <v>63520.810000000005</v>
      </c>
      <c r="AB99" s="150"/>
      <c r="AC99" s="117">
        <v>63102.26</v>
      </c>
      <c r="AD99" s="117">
        <v>63102.26</v>
      </c>
      <c r="AE99" s="117">
        <v>63102.26</v>
      </c>
      <c r="AF99" s="117">
        <v>63102.26</v>
      </c>
      <c r="AG99" s="117">
        <v>63102.26</v>
      </c>
      <c r="AH99" s="117">
        <v>63102.26</v>
      </c>
      <c r="AI99" s="117">
        <v>228719.59</v>
      </c>
      <c r="AJ99" s="117">
        <v>228719.21</v>
      </c>
      <c r="AK99" s="117">
        <v>228719.35</v>
      </c>
      <c r="AL99" s="117">
        <v>228719.37</v>
      </c>
      <c r="AM99" s="117">
        <v>228719.35</v>
      </c>
      <c r="AN99" s="117">
        <v>228719.36000000002</v>
      </c>
      <c r="AO99" s="150"/>
      <c r="AP99" s="117">
        <v>230019.03</v>
      </c>
      <c r="AQ99" s="117">
        <v>224233.77000000002</v>
      </c>
      <c r="AR99" s="117">
        <v>-224233.83000000002</v>
      </c>
      <c r="AS99" s="117">
        <v>0</v>
      </c>
      <c r="AT99" s="117">
        <v>0</v>
      </c>
      <c r="AU99" s="117">
        <v>0</v>
      </c>
      <c r="AV99" s="117">
        <v>0</v>
      </c>
      <c r="AW99" s="117">
        <v>0</v>
      </c>
      <c r="AX99" s="117">
        <v>0</v>
      </c>
      <c r="AY99" s="117">
        <v>0</v>
      </c>
      <c r="AZ99" s="117">
        <v>0</v>
      </c>
      <c r="BA99" s="117">
        <v>0</v>
      </c>
    </row>
    <row r="100" spans="1:53" s="138" customFormat="1" outlineLevel="2" x14ac:dyDescent="0.25">
      <c r="A100" s="138" t="s">
        <v>420</v>
      </c>
      <c r="B100" s="139" t="s">
        <v>421</v>
      </c>
      <c r="C100" s="140" t="s">
        <v>422</v>
      </c>
      <c r="D100" s="141"/>
      <c r="E100" s="142"/>
      <c r="F100" s="143">
        <v>98502.400000000009</v>
      </c>
      <c r="G100" s="143">
        <v>55867.28</v>
      </c>
      <c r="H100" s="144">
        <f t="shared" si="8"/>
        <v>42635.12000000001</v>
      </c>
      <c r="I100" s="145">
        <f t="shared" si="9"/>
        <v>0.76315009429490765</v>
      </c>
      <c r="J100" s="146"/>
      <c r="K100" s="143">
        <v>191538.80000000002</v>
      </c>
      <c r="L100" s="143">
        <v>111734.56</v>
      </c>
      <c r="M100" s="144">
        <f t="shared" si="10"/>
        <v>79804.24000000002</v>
      </c>
      <c r="N100" s="145">
        <f t="shared" si="11"/>
        <v>0.71423058362605107</v>
      </c>
      <c r="O100" s="147"/>
      <c r="P100" s="146"/>
      <c r="Q100" s="143">
        <v>286716.44</v>
      </c>
      <c r="R100" s="143">
        <v>167176.32000000001</v>
      </c>
      <c r="S100" s="144">
        <f t="shared" si="12"/>
        <v>119540.12</v>
      </c>
      <c r="T100" s="145">
        <f t="shared" si="13"/>
        <v>0.71505414163919856</v>
      </c>
      <c r="U100" s="146"/>
      <c r="V100" s="143">
        <v>986073.76</v>
      </c>
      <c r="W100" s="143">
        <v>788788.9310000001</v>
      </c>
      <c r="X100" s="144">
        <f t="shared" si="14"/>
        <v>197284.82899999991</v>
      </c>
      <c r="Y100" s="145">
        <f t="shared" si="15"/>
        <v>0.25011105157103158</v>
      </c>
      <c r="Z100" s="148"/>
      <c r="AA100" s="149">
        <v>55441.760000000002</v>
      </c>
      <c r="AB100" s="150"/>
      <c r="AC100" s="117">
        <v>55867.28</v>
      </c>
      <c r="AD100" s="117">
        <v>55867.28</v>
      </c>
      <c r="AE100" s="117">
        <v>55867.28</v>
      </c>
      <c r="AF100" s="117">
        <v>55867.28</v>
      </c>
      <c r="AG100" s="117">
        <v>55867.28</v>
      </c>
      <c r="AH100" s="117">
        <v>55867.28</v>
      </c>
      <c r="AI100" s="117">
        <v>95177.5</v>
      </c>
      <c r="AJ100" s="117">
        <v>95177.78</v>
      </c>
      <c r="AK100" s="117">
        <v>95177.64</v>
      </c>
      <c r="AL100" s="117">
        <v>95177.64</v>
      </c>
      <c r="AM100" s="117">
        <v>95177.64</v>
      </c>
      <c r="AN100" s="117">
        <v>95177.64</v>
      </c>
      <c r="AO100" s="150"/>
      <c r="AP100" s="117">
        <v>93036.400000000009</v>
      </c>
      <c r="AQ100" s="117">
        <v>98502.400000000009</v>
      </c>
      <c r="AR100" s="117">
        <v>-98502.400000000009</v>
      </c>
      <c r="AS100" s="117">
        <v>0</v>
      </c>
      <c r="AT100" s="117">
        <v>0</v>
      </c>
      <c r="AU100" s="117">
        <v>0</v>
      </c>
      <c r="AV100" s="117">
        <v>0</v>
      </c>
      <c r="AW100" s="117">
        <v>0</v>
      </c>
      <c r="AX100" s="117">
        <v>0</v>
      </c>
      <c r="AY100" s="117">
        <v>0</v>
      </c>
      <c r="AZ100" s="117">
        <v>0</v>
      </c>
      <c r="BA100" s="117">
        <v>0</v>
      </c>
    </row>
    <row r="101" spans="1:53" s="138" customFormat="1" outlineLevel="2" x14ac:dyDescent="0.25">
      <c r="A101" s="138" t="s">
        <v>423</v>
      </c>
      <c r="B101" s="139" t="s">
        <v>424</v>
      </c>
      <c r="C101" s="140" t="s">
        <v>425</v>
      </c>
      <c r="D101" s="141"/>
      <c r="E101" s="142"/>
      <c r="F101" s="143">
        <v>-80005.210000000006</v>
      </c>
      <c r="G101" s="143">
        <v>-47820.33</v>
      </c>
      <c r="H101" s="144">
        <f t="shared" si="8"/>
        <v>-32184.880000000005</v>
      </c>
      <c r="I101" s="145">
        <f t="shared" si="9"/>
        <v>-0.67303759718931266</v>
      </c>
      <c r="J101" s="146"/>
      <c r="K101" s="143">
        <v>-155570.85</v>
      </c>
      <c r="L101" s="143">
        <v>-95640.66</v>
      </c>
      <c r="M101" s="144">
        <f t="shared" si="10"/>
        <v>-59930.19</v>
      </c>
      <c r="N101" s="145">
        <f t="shared" si="11"/>
        <v>-0.62661832321106947</v>
      </c>
      <c r="O101" s="147"/>
      <c r="P101" s="146"/>
      <c r="Q101" s="143">
        <v>-241571.8</v>
      </c>
      <c r="R101" s="143">
        <v>-142527.99</v>
      </c>
      <c r="S101" s="144">
        <f t="shared" si="12"/>
        <v>-99043.81</v>
      </c>
      <c r="T101" s="145">
        <f t="shared" si="13"/>
        <v>-0.69490778618291049</v>
      </c>
      <c r="U101" s="146"/>
      <c r="V101" s="143">
        <v>-862857.87</v>
      </c>
      <c r="W101" s="143">
        <v>-663646.24</v>
      </c>
      <c r="X101" s="144">
        <f t="shared" si="14"/>
        <v>-199211.63</v>
      </c>
      <c r="Y101" s="145">
        <f t="shared" si="15"/>
        <v>-0.30017744092093401</v>
      </c>
      <c r="Z101" s="148"/>
      <c r="AA101" s="149">
        <v>-46887.33</v>
      </c>
      <c r="AB101" s="150"/>
      <c r="AC101" s="117">
        <v>-47820.33</v>
      </c>
      <c r="AD101" s="117">
        <v>-47820.33</v>
      </c>
      <c r="AE101" s="117">
        <v>-47820.33</v>
      </c>
      <c r="AF101" s="117">
        <v>-47820.33</v>
      </c>
      <c r="AG101" s="117">
        <v>-47820.33</v>
      </c>
      <c r="AH101" s="117">
        <v>-47820.33</v>
      </c>
      <c r="AI101" s="117">
        <v>-86000.82</v>
      </c>
      <c r="AJ101" s="117">
        <v>-86001.08</v>
      </c>
      <c r="AK101" s="117">
        <v>-86000.95</v>
      </c>
      <c r="AL101" s="117">
        <v>-86000.95</v>
      </c>
      <c r="AM101" s="117">
        <v>-86000.95</v>
      </c>
      <c r="AN101" s="117">
        <v>-86000.95</v>
      </c>
      <c r="AO101" s="150"/>
      <c r="AP101" s="117">
        <v>-75565.64</v>
      </c>
      <c r="AQ101" s="117">
        <v>-80005.210000000006</v>
      </c>
      <c r="AR101" s="117">
        <v>80005.210000000006</v>
      </c>
      <c r="AS101" s="117">
        <v>0</v>
      </c>
      <c r="AT101" s="117">
        <v>0</v>
      </c>
      <c r="AU101" s="117">
        <v>0</v>
      </c>
      <c r="AV101" s="117">
        <v>0</v>
      </c>
      <c r="AW101" s="117">
        <v>0</v>
      </c>
      <c r="AX101" s="117">
        <v>0</v>
      </c>
      <c r="AY101" s="117">
        <v>0</v>
      </c>
      <c r="AZ101" s="117">
        <v>0</v>
      </c>
      <c r="BA101" s="117">
        <v>0</v>
      </c>
    </row>
    <row r="102" spans="1:53" s="138" customFormat="1" outlineLevel="2" x14ac:dyDescent="0.25">
      <c r="A102" s="138" t="s">
        <v>426</v>
      </c>
      <c r="B102" s="139" t="s">
        <v>427</v>
      </c>
      <c r="C102" s="140" t="s">
        <v>428</v>
      </c>
      <c r="D102" s="141"/>
      <c r="E102" s="142"/>
      <c r="F102" s="143">
        <v>5753.49</v>
      </c>
      <c r="G102" s="143">
        <v>2695.79</v>
      </c>
      <c r="H102" s="144">
        <f t="shared" si="8"/>
        <v>3057.7</v>
      </c>
      <c r="I102" s="145">
        <f t="shared" si="9"/>
        <v>1.1342500714076393</v>
      </c>
      <c r="J102" s="146"/>
      <c r="K102" s="143">
        <v>11187.710000000001</v>
      </c>
      <c r="L102" s="143">
        <v>5391.58</v>
      </c>
      <c r="M102" s="144">
        <f t="shared" si="10"/>
        <v>5796.130000000001</v>
      </c>
      <c r="N102" s="145">
        <f t="shared" si="11"/>
        <v>1.0750336636013935</v>
      </c>
      <c r="O102" s="147"/>
      <c r="P102" s="146"/>
      <c r="Q102" s="143">
        <v>15780.36</v>
      </c>
      <c r="R102" s="143">
        <v>8094.33</v>
      </c>
      <c r="S102" s="144">
        <f t="shared" si="12"/>
        <v>7686.0300000000007</v>
      </c>
      <c r="T102" s="145">
        <f t="shared" si="13"/>
        <v>0.94955728269047601</v>
      </c>
      <c r="U102" s="146"/>
      <c r="V102" s="143">
        <v>49526.77</v>
      </c>
      <c r="W102" s="143">
        <v>40775.440000000002</v>
      </c>
      <c r="X102" s="144">
        <f t="shared" si="14"/>
        <v>8751.3299999999945</v>
      </c>
      <c r="Y102" s="145">
        <f t="shared" si="15"/>
        <v>0.21462257672755938</v>
      </c>
      <c r="Z102" s="148"/>
      <c r="AA102" s="149">
        <v>2702.75</v>
      </c>
      <c r="AB102" s="150"/>
      <c r="AC102" s="117">
        <v>2695.79</v>
      </c>
      <c r="AD102" s="117">
        <v>2695.79</v>
      </c>
      <c r="AE102" s="117">
        <v>2695.79</v>
      </c>
      <c r="AF102" s="117">
        <v>2695.79</v>
      </c>
      <c r="AG102" s="117">
        <v>2695.79</v>
      </c>
      <c r="AH102" s="117">
        <v>2695.79</v>
      </c>
      <c r="AI102" s="117">
        <v>4592.6400000000003</v>
      </c>
      <c r="AJ102" s="117">
        <v>4592.66</v>
      </c>
      <c r="AK102" s="117">
        <v>4592.6500000000005</v>
      </c>
      <c r="AL102" s="117">
        <v>4592.6500000000005</v>
      </c>
      <c r="AM102" s="117">
        <v>4592.6500000000005</v>
      </c>
      <c r="AN102" s="117">
        <v>4592.6500000000005</v>
      </c>
      <c r="AO102" s="150"/>
      <c r="AP102" s="117">
        <v>5434.22</v>
      </c>
      <c r="AQ102" s="117">
        <v>5753.49</v>
      </c>
      <c r="AR102" s="117">
        <v>-5753.49</v>
      </c>
      <c r="AS102" s="117">
        <v>0</v>
      </c>
      <c r="AT102" s="117">
        <v>0</v>
      </c>
      <c r="AU102" s="117">
        <v>0</v>
      </c>
      <c r="AV102" s="117">
        <v>0</v>
      </c>
      <c r="AW102" s="117">
        <v>0</v>
      </c>
      <c r="AX102" s="117">
        <v>0</v>
      </c>
      <c r="AY102" s="117">
        <v>0</v>
      </c>
      <c r="AZ102" s="117">
        <v>0</v>
      </c>
      <c r="BA102" s="117">
        <v>0</v>
      </c>
    </row>
    <row r="103" spans="1:53" s="138" customFormat="1" outlineLevel="2" x14ac:dyDescent="0.25">
      <c r="A103" s="138" t="s">
        <v>429</v>
      </c>
      <c r="B103" s="139" t="s">
        <v>430</v>
      </c>
      <c r="C103" s="140" t="s">
        <v>431</v>
      </c>
      <c r="D103" s="141"/>
      <c r="E103" s="142"/>
      <c r="F103" s="143">
        <v>0</v>
      </c>
      <c r="G103" s="143">
        <v>0</v>
      </c>
      <c r="H103" s="144">
        <f t="shared" si="8"/>
        <v>0</v>
      </c>
      <c r="I103" s="145">
        <f t="shared" si="9"/>
        <v>0</v>
      </c>
      <c r="J103" s="146"/>
      <c r="K103" s="143">
        <v>0</v>
      </c>
      <c r="L103" s="143">
        <v>0</v>
      </c>
      <c r="M103" s="144">
        <f t="shared" si="10"/>
        <v>0</v>
      </c>
      <c r="N103" s="145">
        <f t="shared" si="11"/>
        <v>0</v>
      </c>
      <c r="O103" s="147"/>
      <c r="P103" s="146"/>
      <c r="Q103" s="143">
        <v>0</v>
      </c>
      <c r="R103" s="143">
        <v>0</v>
      </c>
      <c r="S103" s="144">
        <f t="shared" si="12"/>
        <v>0</v>
      </c>
      <c r="T103" s="145">
        <f t="shared" si="13"/>
        <v>0</v>
      </c>
      <c r="U103" s="146"/>
      <c r="V103" s="143">
        <v>0</v>
      </c>
      <c r="W103" s="143">
        <v>424727.24</v>
      </c>
      <c r="X103" s="144">
        <f t="shared" si="14"/>
        <v>-424727.24</v>
      </c>
      <c r="Y103" s="145" t="str">
        <f t="shared" si="15"/>
        <v>N.M.</v>
      </c>
      <c r="Z103" s="148"/>
      <c r="AA103" s="149">
        <v>0</v>
      </c>
      <c r="AB103" s="150"/>
      <c r="AC103" s="117">
        <v>0</v>
      </c>
      <c r="AD103" s="117">
        <v>0</v>
      </c>
      <c r="AE103" s="117">
        <v>0</v>
      </c>
      <c r="AF103" s="117">
        <v>0</v>
      </c>
      <c r="AG103" s="117">
        <v>0</v>
      </c>
      <c r="AH103" s="117">
        <v>0</v>
      </c>
      <c r="AI103" s="117">
        <v>0</v>
      </c>
      <c r="AJ103" s="117">
        <v>0</v>
      </c>
      <c r="AK103" s="117">
        <v>0</v>
      </c>
      <c r="AL103" s="117">
        <v>0</v>
      </c>
      <c r="AM103" s="117">
        <v>0</v>
      </c>
      <c r="AN103" s="117">
        <v>0</v>
      </c>
      <c r="AO103" s="150"/>
      <c r="AP103" s="117">
        <v>0</v>
      </c>
      <c r="AQ103" s="117">
        <v>0</v>
      </c>
      <c r="AR103" s="117">
        <v>0</v>
      </c>
      <c r="AS103" s="117">
        <v>0</v>
      </c>
      <c r="AT103" s="117">
        <v>0</v>
      </c>
      <c r="AU103" s="117">
        <v>0</v>
      </c>
      <c r="AV103" s="117">
        <v>0</v>
      </c>
      <c r="AW103" s="117">
        <v>0</v>
      </c>
      <c r="AX103" s="117">
        <v>0</v>
      </c>
      <c r="AY103" s="117">
        <v>0</v>
      </c>
      <c r="AZ103" s="117">
        <v>0</v>
      </c>
      <c r="BA103" s="117">
        <v>0</v>
      </c>
    </row>
    <row r="104" spans="1:53" s="138" customFormat="1" outlineLevel="2" x14ac:dyDescent="0.25">
      <c r="A104" s="138" t="s">
        <v>432</v>
      </c>
      <c r="B104" s="139" t="s">
        <v>433</v>
      </c>
      <c r="C104" s="140" t="s">
        <v>434</v>
      </c>
      <c r="D104" s="141"/>
      <c r="E104" s="142"/>
      <c r="F104" s="143">
        <v>0</v>
      </c>
      <c r="G104" s="143">
        <v>0</v>
      </c>
      <c r="H104" s="144">
        <f t="shared" si="8"/>
        <v>0</v>
      </c>
      <c r="I104" s="145">
        <f t="shared" si="9"/>
        <v>0</v>
      </c>
      <c r="J104" s="146"/>
      <c r="K104" s="143">
        <v>0</v>
      </c>
      <c r="L104" s="143">
        <v>0</v>
      </c>
      <c r="M104" s="144">
        <f t="shared" si="10"/>
        <v>0</v>
      </c>
      <c r="N104" s="145">
        <f t="shared" si="11"/>
        <v>0</v>
      </c>
      <c r="O104" s="147"/>
      <c r="P104" s="146"/>
      <c r="Q104" s="143">
        <v>0</v>
      </c>
      <c r="R104" s="143">
        <v>0</v>
      </c>
      <c r="S104" s="144">
        <f t="shared" si="12"/>
        <v>0</v>
      </c>
      <c r="T104" s="145">
        <f t="shared" si="13"/>
        <v>0</v>
      </c>
      <c r="U104" s="146"/>
      <c r="V104" s="143">
        <v>0</v>
      </c>
      <c r="W104" s="143">
        <v>-976444.11</v>
      </c>
      <c r="X104" s="144">
        <f t="shared" si="14"/>
        <v>976444.11</v>
      </c>
      <c r="Y104" s="145" t="str">
        <f t="shared" si="15"/>
        <v>N.M.</v>
      </c>
      <c r="Z104" s="148"/>
      <c r="AA104" s="149">
        <v>0</v>
      </c>
      <c r="AB104" s="150"/>
      <c r="AC104" s="117">
        <v>0</v>
      </c>
      <c r="AD104" s="117">
        <v>0</v>
      </c>
      <c r="AE104" s="117">
        <v>0</v>
      </c>
      <c r="AF104" s="117">
        <v>0</v>
      </c>
      <c r="AG104" s="117">
        <v>0</v>
      </c>
      <c r="AH104" s="117">
        <v>0</v>
      </c>
      <c r="AI104" s="117">
        <v>0</v>
      </c>
      <c r="AJ104" s="117">
        <v>0</v>
      </c>
      <c r="AK104" s="117">
        <v>0</v>
      </c>
      <c r="AL104" s="117">
        <v>0</v>
      </c>
      <c r="AM104" s="117">
        <v>0</v>
      </c>
      <c r="AN104" s="117">
        <v>0</v>
      </c>
      <c r="AO104" s="150"/>
      <c r="AP104" s="117">
        <v>0</v>
      </c>
      <c r="AQ104" s="117">
        <v>0</v>
      </c>
      <c r="AR104" s="117">
        <v>0</v>
      </c>
      <c r="AS104" s="117">
        <v>0</v>
      </c>
      <c r="AT104" s="117">
        <v>0</v>
      </c>
      <c r="AU104" s="117">
        <v>0</v>
      </c>
      <c r="AV104" s="117">
        <v>0</v>
      </c>
      <c r="AW104" s="117">
        <v>0</v>
      </c>
      <c r="AX104" s="117">
        <v>0</v>
      </c>
      <c r="AY104" s="117">
        <v>0</v>
      </c>
      <c r="AZ104" s="117">
        <v>0</v>
      </c>
      <c r="BA104" s="117">
        <v>0</v>
      </c>
    </row>
    <row r="105" spans="1:53" s="138" customFormat="1" outlineLevel="2" x14ac:dyDescent="0.25">
      <c r="A105" s="138" t="s">
        <v>435</v>
      </c>
      <c r="B105" s="139" t="s">
        <v>436</v>
      </c>
      <c r="C105" s="140" t="s">
        <v>437</v>
      </c>
      <c r="D105" s="141"/>
      <c r="E105" s="142"/>
      <c r="F105" s="143">
        <v>0</v>
      </c>
      <c r="G105" s="143">
        <v>-5018.3599999999997</v>
      </c>
      <c r="H105" s="144">
        <f t="shared" si="8"/>
        <v>5018.3599999999997</v>
      </c>
      <c r="I105" s="145" t="str">
        <f t="shared" si="9"/>
        <v>N.M.</v>
      </c>
      <c r="J105" s="146"/>
      <c r="K105" s="143">
        <v>0</v>
      </c>
      <c r="L105" s="143">
        <v>-10002.69</v>
      </c>
      <c r="M105" s="144">
        <f t="shared" si="10"/>
        <v>10002.69</v>
      </c>
      <c r="N105" s="145" t="str">
        <f t="shared" si="11"/>
        <v>N.M.</v>
      </c>
      <c r="O105" s="147"/>
      <c r="P105" s="146"/>
      <c r="Q105" s="143">
        <v>0</v>
      </c>
      <c r="R105" s="143">
        <v>-14987.03</v>
      </c>
      <c r="S105" s="144">
        <f t="shared" si="12"/>
        <v>14987.03</v>
      </c>
      <c r="T105" s="145" t="str">
        <f t="shared" si="13"/>
        <v>N.M.</v>
      </c>
      <c r="U105" s="146"/>
      <c r="V105" s="143">
        <v>-19903.330000000002</v>
      </c>
      <c r="W105" s="143">
        <v>-40852.75</v>
      </c>
      <c r="X105" s="144">
        <f t="shared" si="14"/>
        <v>20949.419999999998</v>
      </c>
      <c r="Y105" s="145">
        <f t="shared" si="15"/>
        <v>0.51280317726468838</v>
      </c>
      <c r="Z105" s="148"/>
      <c r="AA105" s="149">
        <v>-4984.34</v>
      </c>
      <c r="AB105" s="150"/>
      <c r="AC105" s="117">
        <v>-4984.33</v>
      </c>
      <c r="AD105" s="117">
        <v>-5018.3599999999997</v>
      </c>
      <c r="AE105" s="117">
        <v>-4975.83</v>
      </c>
      <c r="AF105" s="117">
        <v>-4975.83</v>
      </c>
      <c r="AG105" s="117">
        <v>-4975.84</v>
      </c>
      <c r="AH105" s="117">
        <v>-4975.83</v>
      </c>
      <c r="AI105" s="117">
        <v>0</v>
      </c>
      <c r="AJ105" s="117">
        <v>0</v>
      </c>
      <c r="AK105" s="117">
        <v>0</v>
      </c>
      <c r="AL105" s="117">
        <v>0</v>
      </c>
      <c r="AM105" s="117">
        <v>0</v>
      </c>
      <c r="AN105" s="117">
        <v>0</v>
      </c>
      <c r="AO105" s="150"/>
      <c r="AP105" s="117">
        <v>0</v>
      </c>
      <c r="AQ105" s="117">
        <v>0</v>
      </c>
      <c r="AR105" s="117">
        <v>0</v>
      </c>
      <c r="AS105" s="117">
        <v>0</v>
      </c>
      <c r="AT105" s="117">
        <v>0</v>
      </c>
      <c r="AU105" s="117">
        <v>0</v>
      </c>
      <c r="AV105" s="117">
        <v>0</v>
      </c>
      <c r="AW105" s="117">
        <v>0</v>
      </c>
      <c r="AX105" s="117">
        <v>0</v>
      </c>
      <c r="AY105" s="117">
        <v>0</v>
      </c>
      <c r="AZ105" s="117">
        <v>0</v>
      </c>
      <c r="BA105" s="117">
        <v>0</v>
      </c>
    </row>
    <row r="106" spans="1:53" s="138" customFormat="1" outlineLevel="2" x14ac:dyDescent="0.25">
      <c r="A106" s="138" t="s">
        <v>438</v>
      </c>
      <c r="B106" s="139" t="s">
        <v>439</v>
      </c>
      <c r="C106" s="140" t="s">
        <v>440</v>
      </c>
      <c r="D106" s="141"/>
      <c r="E106" s="142"/>
      <c r="F106" s="143">
        <v>0</v>
      </c>
      <c r="G106" s="143">
        <v>-16391.87</v>
      </c>
      <c r="H106" s="144">
        <f t="shared" si="8"/>
        <v>16391.87</v>
      </c>
      <c r="I106" s="145" t="str">
        <f t="shared" si="9"/>
        <v>N.M.</v>
      </c>
      <c r="J106" s="146"/>
      <c r="K106" s="143">
        <v>0</v>
      </c>
      <c r="L106" s="143">
        <v>-29319.65</v>
      </c>
      <c r="M106" s="144">
        <f t="shared" si="10"/>
        <v>29319.65</v>
      </c>
      <c r="N106" s="145" t="str">
        <f t="shared" si="11"/>
        <v>N.M.</v>
      </c>
      <c r="O106" s="147"/>
      <c r="P106" s="146"/>
      <c r="Q106" s="143">
        <v>0</v>
      </c>
      <c r="R106" s="143">
        <v>-42247.42</v>
      </c>
      <c r="S106" s="144">
        <f t="shared" si="12"/>
        <v>42247.42</v>
      </c>
      <c r="T106" s="145" t="str">
        <f t="shared" si="13"/>
        <v>N.M.</v>
      </c>
      <c r="U106" s="146"/>
      <c r="V106" s="143">
        <v>-48246.98</v>
      </c>
      <c r="W106" s="143">
        <v>-312275.83</v>
      </c>
      <c r="X106" s="144">
        <f t="shared" si="14"/>
        <v>264028.85000000003</v>
      </c>
      <c r="Y106" s="145">
        <f t="shared" si="15"/>
        <v>0.84549883351522925</v>
      </c>
      <c r="Z106" s="148"/>
      <c r="AA106" s="149">
        <v>-12927.77</v>
      </c>
      <c r="AB106" s="150"/>
      <c r="AC106" s="117">
        <v>-12927.78</v>
      </c>
      <c r="AD106" s="117">
        <v>-16391.87</v>
      </c>
      <c r="AE106" s="117">
        <v>-12061.75</v>
      </c>
      <c r="AF106" s="117">
        <v>-12061.75</v>
      </c>
      <c r="AG106" s="117">
        <v>-12061.73</v>
      </c>
      <c r="AH106" s="117">
        <v>-12061.75</v>
      </c>
      <c r="AI106" s="117">
        <v>0</v>
      </c>
      <c r="AJ106" s="117">
        <v>0</v>
      </c>
      <c r="AK106" s="117">
        <v>0</v>
      </c>
      <c r="AL106" s="117">
        <v>0</v>
      </c>
      <c r="AM106" s="117">
        <v>0</v>
      </c>
      <c r="AN106" s="117">
        <v>0</v>
      </c>
      <c r="AO106" s="150"/>
      <c r="AP106" s="117">
        <v>0</v>
      </c>
      <c r="AQ106" s="117">
        <v>0</v>
      </c>
      <c r="AR106" s="117">
        <v>0</v>
      </c>
      <c r="AS106" s="117">
        <v>0</v>
      </c>
      <c r="AT106" s="117">
        <v>0</v>
      </c>
      <c r="AU106" s="117">
        <v>0</v>
      </c>
      <c r="AV106" s="117">
        <v>0</v>
      </c>
      <c r="AW106" s="117">
        <v>0</v>
      </c>
      <c r="AX106" s="117">
        <v>0</v>
      </c>
      <c r="AY106" s="117">
        <v>0</v>
      </c>
      <c r="AZ106" s="117">
        <v>0</v>
      </c>
      <c r="BA106" s="117">
        <v>0</v>
      </c>
    </row>
    <row r="107" spans="1:53" s="211" customFormat="1" outlineLevel="1" x14ac:dyDescent="0.25">
      <c r="A107" s="211" t="s">
        <v>441</v>
      </c>
      <c r="B107" s="212"/>
      <c r="C107" s="238" t="s">
        <v>442</v>
      </c>
      <c r="D107" s="229"/>
      <c r="E107" s="229"/>
      <c r="F107" s="215">
        <v>4216121.3599999994</v>
      </c>
      <c r="G107" s="215">
        <v>2677386.0799999987</v>
      </c>
      <c r="H107" s="236">
        <f t="shared" si="8"/>
        <v>1538735.2800000007</v>
      </c>
      <c r="I107" s="237">
        <f t="shared" si="9"/>
        <v>0.57471550012690042</v>
      </c>
      <c r="J107" s="231"/>
      <c r="K107" s="215">
        <v>8338457.8360000001</v>
      </c>
      <c r="L107" s="215">
        <v>5367512.4499999983</v>
      </c>
      <c r="M107" s="236">
        <f t="shared" si="10"/>
        <v>2970945.3860000018</v>
      </c>
      <c r="N107" s="232">
        <f t="shared" si="11"/>
        <v>0.55350507589414211</v>
      </c>
      <c r="O107" s="233"/>
      <c r="P107" s="233"/>
      <c r="Q107" s="215">
        <v>11573678.976000004</v>
      </c>
      <c r="R107" s="215">
        <v>8461589.6300000027</v>
      </c>
      <c r="S107" s="236">
        <f t="shared" si="12"/>
        <v>3112089.3460000008</v>
      </c>
      <c r="T107" s="237">
        <f t="shared" si="13"/>
        <v>0.36779015316061836</v>
      </c>
      <c r="U107" s="233"/>
      <c r="V107" s="215">
        <v>41847626.945999995</v>
      </c>
      <c r="W107" s="215">
        <v>34611634.275000028</v>
      </c>
      <c r="X107" s="236">
        <f t="shared" si="14"/>
        <v>7235992.6709999666</v>
      </c>
      <c r="Y107" s="232">
        <f t="shared" si="15"/>
        <v>0.20906243875997851</v>
      </c>
      <c r="AA107" s="215">
        <v>3094077.1799999992</v>
      </c>
      <c r="AB107" s="235"/>
      <c r="AC107" s="215">
        <v>2690126.3699999996</v>
      </c>
      <c r="AD107" s="215">
        <v>2677386.0799999987</v>
      </c>
      <c r="AE107" s="215">
        <v>2812806.4799999991</v>
      </c>
      <c r="AF107" s="215">
        <v>2868084.8200000003</v>
      </c>
      <c r="AG107" s="215">
        <v>2843669.5999999996</v>
      </c>
      <c r="AH107" s="215">
        <v>3481083.6299999994</v>
      </c>
      <c r="AI107" s="215">
        <v>3009189.620000001</v>
      </c>
      <c r="AJ107" s="215">
        <v>5684002.6300000018</v>
      </c>
      <c r="AK107" s="215">
        <v>3259484.97</v>
      </c>
      <c r="AL107" s="215">
        <v>3105209.5300000003</v>
      </c>
      <c r="AM107" s="215">
        <v>3210416.6899999995</v>
      </c>
      <c r="AN107" s="215">
        <v>3235221.1399999997</v>
      </c>
      <c r="AO107" s="235"/>
      <c r="AP107" s="215">
        <v>4122336.4759999998</v>
      </c>
      <c r="AQ107" s="215">
        <v>4216121.3599999994</v>
      </c>
      <c r="AR107" s="215">
        <v>4188413.600000001</v>
      </c>
      <c r="AS107" s="215">
        <v>0</v>
      </c>
      <c r="AT107" s="215">
        <v>0</v>
      </c>
      <c r="AU107" s="215">
        <v>0</v>
      </c>
      <c r="AV107" s="215">
        <v>0</v>
      </c>
      <c r="AW107" s="215">
        <v>0</v>
      </c>
      <c r="AX107" s="215">
        <v>0</v>
      </c>
      <c r="AY107" s="215">
        <v>0</v>
      </c>
      <c r="AZ107" s="215">
        <v>0</v>
      </c>
      <c r="BA107" s="215">
        <v>0</v>
      </c>
    </row>
    <row r="108" spans="1:53" s="244" customFormat="1" x14ac:dyDescent="0.25">
      <c r="A108" s="211"/>
      <c r="B108" s="212" t="s">
        <v>443</v>
      </c>
      <c r="C108" s="239" t="s">
        <v>444</v>
      </c>
      <c r="D108" s="240"/>
      <c r="E108" s="240"/>
      <c r="F108" s="241">
        <f>+F14+F23+F27+F67+F72+F107</f>
        <v>49051140.280000001</v>
      </c>
      <c r="G108" s="241">
        <f>+G14+G23+G27+G67+G72+G107</f>
        <v>54750474.593999997</v>
      </c>
      <c r="H108" s="236">
        <f t="shared" si="8"/>
        <v>-5699334.3139999956</v>
      </c>
      <c r="I108" s="237">
        <f t="shared" si="9"/>
        <v>-0.10409652804406147</v>
      </c>
      <c r="J108" s="242"/>
      <c r="K108" s="241">
        <f>+K14+K23+K27+K67+K72+K107</f>
        <v>106169298.19600001</v>
      </c>
      <c r="L108" s="241">
        <f>+L14+L23+L27+L67+L72+L107</f>
        <v>121232324.56400001</v>
      </c>
      <c r="M108" s="236">
        <f t="shared" si="10"/>
        <v>-15063026.368000001</v>
      </c>
      <c r="N108" s="232">
        <f t="shared" si="11"/>
        <v>-0.12424925796129602</v>
      </c>
      <c r="O108" s="243"/>
      <c r="P108" s="243"/>
      <c r="Q108" s="241">
        <f>+Q14+Q23+Q27+Q67+Q72+Q107</f>
        <v>170020361.22599998</v>
      </c>
      <c r="R108" s="241">
        <f>+R14+R23+R27+R67+R72+R107</f>
        <v>171730024.514</v>
      </c>
      <c r="S108" s="236">
        <f t="shared" si="12"/>
        <v>-1709663.2880000174</v>
      </c>
      <c r="T108" s="237">
        <f t="shared" si="13"/>
        <v>-9.9555292840515491E-3</v>
      </c>
      <c r="U108" s="243"/>
      <c r="V108" s="241">
        <f>+V14+V23+V27+V67+V72+V107</f>
        <v>646941968.99600005</v>
      </c>
      <c r="W108" s="241">
        <f>+W14+W23+W27+W67+W72+W107</f>
        <v>642218384.71999991</v>
      </c>
      <c r="X108" s="236">
        <f t="shared" si="14"/>
        <v>4723584.2760001421</v>
      </c>
      <c r="Y108" s="232">
        <f t="shared" si="15"/>
        <v>7.3551059707821541E-3</v>
      </c>
      <c r="AA108" s="241">
        <f>+AA14+AA23+AA27+AA67+AA72+AA107</f>
        <v>50497699.949999996</v>
      </c>
      <c r="AB108" s="245"/>
      <c r="AC108" s="241">
        <f t="shared" ref="AC108:AN108" si="16">+AC14+AC23+AC27+AC67+AC72+AC107</f>
        <v>66481849.970000006</v>
      </c>
      <c r="AD108" s="241">
        <f t="shared" si="16"/>
        <v>54750474.593999997</v>
      </c>
      <c r="AE108" s="241">
        <f t="shared" si="16"/>
        <v>46797398.909999996</v>
      </c>
      <c r="AF108" s="241">
        <f t="shared" si="16"/>
        <v>46750247.730000004</v>
      </c>
      <c r="AG108" s="241">
        <f t="shared" si="16"/>
        <v>46792404.700000003</v>
      </c>
      <c r="AH108" s="241">
        <f t="shared" si="16"/>
        <v>54064243.320000008</v>
      </c>
      <c r="AI108" s="241">
        <f t="shared" si="16"/>
        <v>61219741.209999993</v>
      </c>
      <c r="AJ108" s="241">
        <f t="shared" si="16"/>
        <v>65524584.530000001</v>
      </c>
      <c r="AK108" s="241">
        <f t="shared" si="16"/>
        <v>45188358.759999998</v>
      </c>
      <c r="AL108" s="241">
        <f t="shared" si="16"/>
        <v>48336395.399999999</v>
      </c>
      <c r="AM108" s="241">
        <f t="shared" si="16"/>
        <v>62248233.209999993</v>
      </c>
      <c r="AN108" s="241">
        <f t="shared" si="16"/>
        <v>63851063.029999994</v>
      </c>
      <c r="AO108" s="245"/>
      <c r="AP108" s="241">
        <f t="shared" ref="AP108:BA108" si="17">+AP14+AP23+AP27+AP67+AP72+AP107</f>
        <v>57118157.916000009</v>
      </c>
      <c r="AQ108" s="241">
        <f t="shared" si="17"/>
        <v>49051140.280000001</v>
      </c>
      <c r="AR108" s="241">
        <f t="shared" si="17"/>
        <v>72129323.229999989</v>
      </c>
      <c r="AS108" s="241">
        <f t="shared" si="17"/>
        <v>0</v>
      </c>
      <c r="AT108" s="241">
        <f t="shared" si="17"/>
        <v>0</v>
      </c>
      <c r="AU108" s="241">
        <f t="shared" si="17"/>
        <v>0</v>
      </c>
      <c r="AV108" s="241">
        <f t="shared" si="17"/>
        <v>0</v>
      </c>
      <c r="AW108" s="241">
        <f t="shared" si="17"/>
        <v>0</v>
      </c>
      <c r="AX108" s="241">
        <f t="shared" si="17"/>
        <v>0</v>
      </c>
      <c r="AY108" s="241">
        <f t="shared" si="17"/>
        <v>0</v>
      </c>
      <c r="AZ108" s="241">
        <f t="shared" si="17"/>
        <v>0</v>
      </c>
      <c r="BA108" s="241">
        <f t="shared" si="17"/>
        <v>0</v>
      </c>
    </row>
    <row r="109" spans="1:53" s="211" customFormat="1" x14ac:dyDescent="0.25">
      <c r="B109" s="212" t="s">
        <v>445</v>
      </c>
      <c r="C109" s="222" t="s">
        <v>446</v>
      </c>
      <c r="D109" s="223"/>
      <c r="E109" s="223"/>
      <c r="F109" s="224"/>
      <c r="G109" s="224"/>
      <c r="H109" s="224"/>
      <c r="I109" s="224"/>
      <c r="J109" s="225"/>
      <c r="K109" s="226"/>
      <c r="L109" s="226"/>
      <c r="M109" s="226"/>
      <c r="N109" s="227"/>
      <c r="O109" s="224"/>
      <c r="P109" s="225"/>
      <c r="Q109" s="224"/>
      <c r="R109" s="224"/>
      <c r="S109" s="224"/>
      <c r="T109" s="224"/>
      <c r="U109" s="225"/>
      <c r="V109" s="224"/>
      <c r="W109" s="224"/>
      <c r="X109" s="224"/>
      <c r="Y109" s="224"/>
      <c r="Z109" s="224"/>
      <c r="AA109" s="226"/>
      <c r="AB109" s="228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8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</row>
    <row r="110" spans="1:53" s="211" customFormat="1" ht="0.75" customHeight="1" outlineLevel="2" x14ac:dyDescent="0.25">
      <c r="B110" s="212"/>
      <c r="C110" s="239"/>
      <c r="D110" s="229"/>
      <c r="E110" s="229"/>
      <c r="F110" s="215"/>
      <c r="G110" s="215"/>
      <c r="H110" s="215"/>
      <c r="I110" s="230"/>
      <c r="J110" s="231"/>
      <c r="K110" s="215"/>
      <c r="L110" s="215"/>
      <c r="M110" s="215"/>
      <c r="N110" s="234"/>
      <c r="O110" s="233"/>
      <c r="P110" s="233"/>
      <c r="Q110" s="215"/>
      <c r="R110" s="215"/>
      <c r="S110" s="215"/>
      <c r="T110" s="230"/>
      <c r="U110" s="233"/>
      <c r="V110" s="215"/>
      <c r="W110" s="215"/>
      <c r="X110" s="215"/>
      <c r="Y110" s="234"/>
      <c r="AA110" s="215"/>
      <c r="AB110" s="23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3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</row>
    <row r="111" spans="1:53" s="138" customFormat="1" outlineLevel="2" x14ac:dyDescent="0.25">
      <c r="A111" s="138" t="s">
        <v>447</v>
      </c>
      <c r="B111" s="139" t="s">
        <v>448</v>
      </c>
      <c r="C111" s="140" t="s">
        <v>449</v>
      </c>
      <c r="D111" s="141"/>
      <c r="E111" s="142"/>
      <c r="F111" s="143">
        <v>177798.84</v>
      </c>
      <c r="G111" s="143">
        <v>267827.27</v>
      </c>
      <c r="H111" s="144">
        <f t="shared" ref="H111:H125" si="18">+F111-G111</f>
        <v>-90028.430000000022</v>
      </c>
      <c r="I111" s="145">
        <f t="shared" ref="I111:I125" si="19">IF(G111&lt;0,IF(H111=0,0,IF(OR(G111=0,F111=0),"N.M.",IF(ABS(H111/G111)&gt;=10,"N.M.",H111/(-G111)))),IF(H111=0,0,IF(OR(G111=0,F111=0),"N.M.",IF(ABS(H111/G111)&gt;=10,"N.M.",H111/G111))))</f>
        <v>-0.33614362719673774</v>
      </c>
      <c r="J111" s="146"/>
      <c r="K111" s="143">
        <v>492540.77</v>
      </c>
      <c r="L111" s="143">
        <v>446560.41000000003</v>
      </c>
      <c r="M111" s="144">
        <f t="shared" ref="M111:M125" si="20">+K111-L111</f>
        <v>45980.359999999986</v>
      </c>
      <c r="N111" s="145">
        <f t="shared" ref="N111:N125" si="21">IF(L111&lt;0,IF(M111=0,0,IF(OR(L111=0,K111=0),"N.M.",IF(ABS(M111/L111)&gt;=10,"N.M.",M111/(-L111)))),IF(M111=0,0,IF(OR(L111=0,K111=0),"N.M.",IF(ABS(M111/L111)&gt;=10,"N.M.",M111/L111))))</f>
        <v>0.1029655987641179</v>
      </c>
      <c r="O111" s="147"/>
      <c r="P111" s="146"/>
      <c r="Q111" s="143">
        <v>883642.16</v>
      </c>
      <c r="R111" s="143">
        <v>820356.44000000006</v>
      </c>
      <c r="S111" s="144">
        <f t="shared" ref="S111:S125" si="22">+Q111-R111</f>
        <v>63285.719999999972</v>
      </c>
      <c r="T111" s="145">
        <f t="shared" ref="T111:T125" si="23">IF(R111&lt;0,IF(S111=0,0,IF(OR(R111=0,Q111=0),"N.M.",IF(ABS(S111/R111)&gt;=10,"N.M.",S111/(-R111)))),IF(S111=0,0,IF(OR(R111=0,Q111=0),"N.M.",IF(ABS(S111/R111)&gt;=10,"N.M.",S111/R111))))</f>
        <v>7.7144174061704165E-2</v>
      </c>
      <c r="U111" s="146"/>
      <c r="V111" s="143">
        <v>2695247.4</v>
      </c>
      <c r="W111" s="143">
        <v>2919874.93</v>
      </c>
      <c r="X111" s="144">
        <f t="shared" ref="X111:X125" si="24">+V111-W111</f>
        <v>-224627.53000000026</v>
      </c>
      <c r="Y111" s="145">
        <f t="shared" ref="Y111:Y125" si="25">IF(W111&lt;0,IF(X111=0,0,IF(OR(W111=0,V111=0),"N.M.",IF(ABS(X111/W111)&gt;=10,"N.M.",X111/(-W111)))),IF(X111=0,0,IF(OR(W111=0,V111=0),"N.M.",IF(ABS(X111/W111)&gt;=10,"N.M.",X111/W111))))</f>
        <v>-7.693053140464487E-2</v>
      </c>
      <c r="Z111" s="148"/>
      <c r="AA111" s="149">
        <v>373796.03</v>
      </c>
      <c r="AB111" s="150"/>
      <c r="AC111" s="117">
        <v>178733.14</v>
      </c>
      <c r="AD111" s="117">
        <v>267827.27</v>
      </c>
      <c r="AE111" s="117">
        <v>344605.31</v>
      </c>
      <c r="AF111" s="117">
        <v>210040.07</v>
      </c>
      <c r="AG111" s="117">
        <v>166223.33000000002</v>
      </c>
      <c r="AH111" s="117">
        <v>162667.05000000002</v>
      </c>
      <c r="AI111" s="117">
        <v>226323.27000000002</v>
      </c>
      <c r="AJ111" s="117">
        <v>248953.89</v>
      </c>
      <c r="AK111" s="117">
        <v>189547.34</v>
      </c>
      <c r="AL111" s="117">
        <v>165924.26</v>
      </c>
      <c r="AM111" s="117">
        <v>97320.72</v>
      </c>
      <c r="AN111" s="117">
        <v>391101.39</v>
      </c>
      <c r="AO111" s="150"/>
      <c r="AP111" s="117">
        <v>314741.93</v>
      </c>
      <c r="AQ111" s="117">
        <v>177798.84</v>
      </c>
      <c r="AR111" s="117">
        <v>-188119.42</v>
      </c>
      <c r="AS111" s="117">
        <v>0</v>
      </c>
      <c r="AT111" s="117">
        <v>0</v>
      </c>
      <c r="AU111" s="117">
        <v>0</v>
      </c>
      <c r="AV111" s="117">
        <v>0</v>
      </c>
      <c r="AW111" s="117">
        <v>0</v>
      </c>
      <c r="AX111" s="117">
        <v>0</v>
      </c>
      <c r="AY111" s="117">
        <v>0</v>
      </c>
      <c r="AZ111" s="117">
        <v>0</v>
      </c>
      <c r="BA111" s="117">
        <v>0</v>
      </c>
    </row>
    <row r="112" spans="1:53" s="138" customFormat="1" outlineLevel="2" x14ac:dyDescent="0.25">
      <c r="A112" s="138" t="s">
        <v>450</v>
      </c>
      <c r="B112" s="139" t="s">
        <v>451</v>
      </c>
      <c r="C112" s="140" t="s">
        <v>452</v>
      </c>
      <c r="D112" s="141"/>
      <c r="E112" s="142"/>
      <c r="F112" s="143">
        <v>4317261.93</v>
      </c>
      <c r="G112" s="143">
        <v>9915542.9199999999</v>
      </c>
      <c r="H112" s="144">
        <f t="shared" si="18"/>
        <v>-5598280.9900000002</v>
      </c>
      <c r="I112" s="145">
        <f t="shared" si="19"/>
        <v>-0.5645965163146105</v>
      </c>
      <c r="J112" s="146"/>
      <c r="K112" s="143">
        <v>9440537.1699999999</v>
      </c>
      <c r="L112" s="143">
        <v>18562489.43</v>
      </c>
      <c r="M112" s="144">
        <f t="shared" si="20"/>
        <v>-9121952.2599999998</v>
      </c>
      <c r="N112" s="145">
        <f t="shared" si="21"/>
        <v>-0.49141858339633271</v>
      </c>
      <c r="O112" s="147"/>
      <c r="P112" s="146"/>
      <c r="Q112" s="143">
        <v>19132987.390000001</v>
      </c>
      <c r="R112" s="143">
        <v>24064311.300000001</v>
      </c>
      <c r="S112" s="144">
        <f t="shared" si="22"/>
        <v>-4931323.91</v>
      </c>
      <c r="T112" s="145">
        <f t="shared" si="23"/>
        <v>-0.20492271100232984</v>
      </c>
      <c r="U112" s="146"/>
      <c r="V112" s="143">
        <v>83581064.560000002</v>
      </c>
      <c r="W112" s="143">
        <v>111941740.21000001</v>
      </c>
      <c r="X112" s="144">
        <f t="shared" si="24"/>
        <v>-28360675.650000006</v>
      </c>
      <c r="Y112" s="145">
        <f t="shared" si="25"/>
        <v>-0.25335210616518972</v>
      </c>
      <c r="Z112" s="148"/>
      <c r="AA112" s="149">
        <v>5501821.8700000001</v>
      </c>
      <c r="AB112" s="150"/>
      <c r="AC112" s="117">
        <v>8646946.5099999998</v>
      </c>
      <c r="AD112" s="117">
        <v>9915542.9199999999</v>
      </c>
      <c r="AE112" s="117">
        <v>8336790.6500000004</v>
      </c>
      <c r="AF112" s="117">
        <v>5416082.1200000001</v>
      </c>
      <c r="AG112" s="117">
        <v>4598721.41</v>
      </c>
      <c r="AH112" s="117">
        <v>9662483.5</v>
      </c>
      <c r="AI112" s="117">
        <v>9782891.8499999996</v>
      </c>
      <c r="AJ112" s="117">
        <v>8204101.8099999996</v>
      </c>
      <c r="AK112" s="117">
        <v>5062525.95</v>
      </c>
      <c r="AL112" s="117">
        <v>2753234.5300000003</v>
      </c>
      <c r="AM112" s="117">
        <v>10631245.35</v>
      </c>
      <c r="AN112" s="117">
        <v>9692450.2200000007</v>
      </c>
      <c r="AO112" s="150"/>
      <c r="AP112" s="117">
        <v>5123275.24</v>
      </c>
      <c r="AQ112" s="117">
        <v>4317261.93</v>
      </c>
      <c r="AR112" s="117">
        <v>0</v>
      </c>
      <c r="AS112" s="117">
        <v>0</v>
      </c>
      <c r="AT112" s="117">
        <v>0</v>
      </c>
      <c r="AU112" s="117">
        <v>0</v>
      </c>
      <c r="AV112" s="117">
        <v>0</v>
      </c>
      <c r="AW112" s="117">
        <v>0</v>
      </c>
      <c r="AX112" s="117">
        <v>0</v>
      </c>
      <c r="AY112" s="117">
        <v>0</v>
      </c>
      <c r="AZ112" s="117">
        <v>0</v>
      </c>
      <c r="BA112" s="117">
        <v>0</v>
      </c>
    </row>
    <row r="113" spans="1:53" s="138" customFormat="1" outlineLevel="2" x14ac:dyDescent="0.25">
      <c r="A113" s="138" t="s">
        <v>453</v>
      </c>
      <c r="B113" s="139" t="s">
        <v>454</v>
      </c>
      <c r="C113" s="140" t="s">
        <v>455</v>
      </c>
      <c r="D113" s="141"/>
      <c r="E113" s="142"/>
      <c r="F113" s="143">
        <v>187284.76</v>
      </c>
      <c r="G113" s="143">
        <v>434046.59</v>
      </c>
      <c r="H113" s="144">
        <f t="shared" si="18"/>
        <v>-246761.83000000002</v>
      </c>
      <c r="I113" s="145">
        <f t="shared" si="19"/>
        <v>-0.56851461498637734</v>
      </c>
      <c r="J113" s="146"/>
      <c r="K113" s="143">
        <v>417751.49</v>
      </c>
      <c r="L113" s="143">
        <v>869010.71</v>
      </c>
      <c r="M113" s="144">
        <f t="shared" si="20"/>
        <v>-451259.22</v>
      </c>
      <c r="N113" s="145">
        <f t="shared" si="21"/>
        <v>-0.51927923880247684</v>
      </c>
      <c r="O113" s="147"/>
      <c r="P113" s="146"/>
      <c r="Q113" s="143">
        <v>786137.22</v>
      </c>
      <c r="R113" s="143">
        <v>1310686.1299999999</v>
      </c>
      <c r="S113" s="144">
        <f t="shared" si="22"/>
        <v>-524548.90999999992</v>
      </c>
      <c r="T113" s="145">
        <f t="shared" si="23"/>
        <v>-0.40020940024748713</v>
      </c>
      <c r="U113" s="146"/>
      <c r="V113" s="143">
        <v>2938296.83</v>
      </c>
      <c r="W113" s="143">
        <v>6086405.7800000003</v>
      </c>
      <c r="X113" s="144">
        <f t="shared" si="24"/>
        <v>-3148108.95</v>
      </c>
      <c r="Y113" s="145">
        <f t="shared" si="25"/>
        <v>-0.51723612650749029</v>
      </c>
      <c r="Z113" s="148"/>
      <c r="AA113" s="149">
        <v>441675.42</v>
      </c>
      <c r="AB113" s="150"/>
      <c r="AC113" s="117">
        <v>434964.12</v>
      </c>
      <c r="AD113" s="117">
        <v>434046.59</v>
      </c>
      <c r="AE113" s="117">
        <v>263494.68</v>
      </c>
      <c r="AF113" s="117">
        <v>174030.1</v>
      </c>
      <c r="AG113" s="117">
        <v>143086.23000000001</v>
      </c>
      <c r="AH113" s="117">
        <v>352487.82</v>
      </c>
      <c r="AI113" s="117">
        <v>313141.25</v>
      </c>
      <c r="AJ113" s="117">
        <v>252330.30000000002</v>
      </c>
      <c r="AK113" s="117">
        <v>162437.04</v>
      </c>
      <c r="AL113" s="117">
        <v>102546.87</v>
      </c>
      <c r="AM113" s="117">
        <v>388605.32</v>
      </c>
      <c r="AN113" s="117">
        <v>368385.73</v>
      </c>
      <c r="AO113" s="150"/>
      <c r="AP113" s="117">
        <v>230466.73</v>
      </c>
      <c r="AQ113" s="117">
        <v>187284.76</v>
      </c>
      <c r="AR113" s="117">
        <v>0</v>
      </c>
      <c r="AS113" s="117">
        <v>0</v>
      </c>
      <c r="AT113" s="117">
        <v>0</v>
      </c>
      <c r="AU113" s="117">
        <v>0</v>
      </c>
      <c r="AV113" s="117">
        <v>0</v>
      </c>
      <c r="AW113" s="117">
        <v>0</v>
      </c>
      <c r="AX113" s="117">
        <v>0</v>
      </c>
      <c r="AY113" s="117">
        <v>0</v>
      </c>
      <c r="AZ113" s="117">
        <v>0</v>
      </c>
      <c r="BA113" s="117">
        <v>0</v>
      </c>
    </row>
    <row r="114" spans="1:53" s="138" customFormat="1" outlineLevel="2" x14ac:dyDescent="0.25">
      <c r="A114" s="138" t="s">
        <v>456</v>
      </c>
      <c r="B114" s="139" t="s">
        <v>457</v>
      </c>
      <c r="C114" s="140" t="s">
        <v>458</v>
      </c>
      <c r="D114" s="141"/>
      <c r="E114" s="142"/>
      <c r="F114" s="143">
        <v>963286</v>
      </c>
      <c r="G114" s="143">
        <v>1085204.6399999999</v>
      </c>
      <c r="H114" s="144">
        <f t="shared" si="18"/>
        <v>-121918.6399999999</v>
      </c>
      <c r="I114" s="145">
        <f t="shared" si="19"/>
        <v>-0.11234622070911889</v>
      </c>
      <c r="J114" s="146"/>
      <c r="K114" s="143">
        <v>-1100695.4099999999</v>
      </c>
      <c r="L114" s="143">
        <v>-2423771.37</v>
      </c>
      <c r="M114" s="144">
        <f t="shared" si="20"/>
        <v>1323075.9600000002</v>
      </c>
      <c r="N114" s="145">
        <f t="shared" si="21"/>
        <v>0.5458749023840479</v>
      </c>
      <c r="O114" s="147"/>
      <c r="P114" s="146"/>
      <c r="Q114" s="143">
        <v>-1262100.68</v>
      </c>
      <c r="R114" s="143">
        <v>-69561.360000000335</v>
      </c>
      <c r="S114" s="144">
        <f t="shared" si="22"/>
        <v>-1192539.3199999996</v>
      </c>
      <c r="T114" s="145" t="str">
        <f t="shared" si="23"/>
        <v>N.M.</v>
      </c>
      <c r="U114" s="146"/>
      <c r="V114" s="143">
        <v>-2385816.3200000003</v>
      </c>
      <c r="W114" s="143">
        <v>4425766.55</v>
      </c>
      <c r="X114" s="144">
        <f t="shared" si="24"/>
        <v>-6811582.8700000001</v>
      </c>
      <c r="Y114" s="145">
        <f t="shared" si="25"/>
        <v>-1.5390741452460932</v>
      </c>
      <c r="Z114" s="148"/>
      <c r="AA114" s="149">
        <v>2354210.0099999998</v>
      </c>
      <c r="AB114" s="150"/>
      <c r="AC114" s="117">
        <v>-3508976.01</v>
      </c>
      <c r="AD114" s="117">
        <v>1085204.6399999999</v>
      </c>
      <c r="AE114" s="117">
        <v>1018669.47</v>
      </c>
      <c r="AF114" s="117">
        <v>-575370.47</v>
      </c>
      <c r="AG114" s="117">
        <v>893224</v>
      </c>
      <c r="AH114" s="117">
        <v>-1091664.6299999999</v>
      </c>
      <c r="AI114" s="117">
        <v>-1721556.37</v>
      </c>
      <c r="AJ114" s="117">
        <v>-829690.76</v>
      </c>
      <c r="AK114" s="117">
        <v>-1186659.02</v>
      </c>
      <c r="AL114" s="117">
        <v>423107.14</v>
      </c>
      <c r="AM114" s="117">
        <v>1946225</v>
      </c>
      <c r="AN114" s="117">
        <v>-161405.26999999999</v>
      </c>
      <c r="AO114" s="150"/>
      <c r="AP114" s="117">
        <v>-2063981.41</v>
      </c>
      <c r="AQ114" s="117">
        <v>963286</v>
      </c>
      <c r="AR114" s="117">
        <v>1668989</v>
      </c>
      <c r="AS114" s="117">
        <v>1159354</v>
      </c>
      <c r="AT114" s="117">
        <v>0</v>
      </c>
      <c r="AU114" s="117">
        <v>0</v>
      </c>
      <c r="AV114" s="117">
        <v>0</v>
      </c>
      <c r="AW114" s="117">
        <v>0</v>
      </c>
      <c r="AX114" s="117">
        <v>0</v>
      </c>
      <c r="AY114" s="117">
        <v>0</v>
      </c>
      <c r="AZ114" s="117">
        <v>0</v>
      </c>
      <c r="BA114" s="117">
        <v>0</v>
      </c>
    </row>
    <row r="115" spans="1:53" s="138" customFormat="1" outlineLevel="2" x14ac:dyDescent="0.25">
      <c r="A115" s="138" t="s">
        <v>459</v>
      </c>
      <c r="B115" s="139" t="s">
        <v>460</v>
      </c>
      <c r="C115" s="140" t="s">
        <v>461</v>
      </c>
      <c r="D115" s="141"/>
      <c r="E115" s="142"/>
      <c r="F115" s="143">
        <v>0</v>
      </c>
      <c r="G115" s="143">
        <v>0</v>
      </c>
      <c r="H115" s="144">
        <f t="shared" si="18"/>
        <v>0</v>
      </c>
      <c r="I115" s="145">
        <f t="shared" si="19"/>
        <v>0</v>
      </c>
      <c r="J115" s="146"/>
      <c r="K115" s="143">
        <v>-1605.9</v>
      </c>
      <c r="L115" s="143">
        <v>0</v>
      </c>
      <c r="M115" s="144">
        <f t="shared" si="20"/>
        <v>-1605.9</v>
      </c>
      <c r="N115" s="145" t="str">
        <f t="shared" si="21"/>
        <v>N.M.</v>
      </c>
      <c r="O115" s="147"/>
      <c r="P115" s="146"/>
      <c r="Q115" s="143">
        <v>-1605.9</v>
      </c>
      <c r="R115" s="143">
        <v>0</v>
      </c>
      <c r="S115" s="144">
        <f t="shared" si="22"/>
        <v>-1605.9</v>
      </c>
      <c r="T115" s="145" t="str">
        <f t="shared" si="23"/>
        <v>N.M.</v>
      </c>
      <c r="U115" s="146"/>
      <c r="V115" s="143">
        <v>-1605.9</v>
      </c>
      <c r="W115" s="143">
        <v>0</v>
      </c>
      <c r="X115" s="144">
        <f t="shared" si="24"/>
        <v>-1605.9</v>
      </c>
      <c r="Y115" s="145" t="str">
        <f t="shared" si="25"/>
        <v>N.M.</v>
      </c>
      <c r="Z115" s="148"/>
      <c r="AA115" s="149">
        <v>0</v>
      </c>
      <c r="AB115" s="150"/>
      <c r="AC115" s="117">
        <v>0</v>
      </c>
      <c r="AD115" s="117">
        <v>0</v>
      </c>
      <c r="AE115" s="117">
        <v>0</v>
      </c>
      <c r="AF115" s="117">
        <v>0</v>
      </c>
      <c r="AG115" s="117">
        <v>0</v>
      </c>
      <c r="AH115" s="117">
        <v>0</v>
      </c>
      <c r="AI115" s="117">
        <v>0</v>
      </c>
      <c r="AJ115" s="117">
        <v>0</v>
      </c>
      <c r="AK115" s="117">
        <v>0</v>
      </c>
      <c r="AL115" s="117">
        <v>0</v>
      </c>
      <c r="AM115" s="117">
        <v>0</v>
      </c>
      <c r="AN115" s="117">
        <v>0</v>
      </c>
      <c r="AO115" s="150"/>
      <c r="AP115" s="117">
        <v>-1605.9</v>
      </c>
      <c r="AQ115" s="117">
        <v>0</v>
      </c>
      <c r="AR115" s="117">
        <v>-462</v>
      </c>
      <c r="AS115" s="117">
        <v>0</v>
      </c>
      <c r="AT115" s="117">
        <v>0</v>
      </c>
      <c r="AU115" s="117">
        <v>0</v>
      </c>
      <c r="AV115" s="117">
        <v>0</v>
      </c>
      <c r="AW115" s="117">
        <v>0</v>
      </c>
      <c r="AX115" s="117">
        <v>0</v>
      </c>
      <c r="AY115" s="117">
        <v>0</v>
      </c>
      <c r="AZ115" s="117">
        <v>0</v>
      </c>
      <c r="BA115" s="117">
        <v>0</v>
      </c>
    </row>
    <row r="116" spans="1:53" s="138" customFormat="1" outlineLevel="2" x14ac:dyDescent="0.25">
      <c r="A116" s="138" t="s">
        <v>462</v>
      </c>
      <c r="B116" s="139" t="s">
        <v>463</v>
      </c>
      <c r="C116" s="140" t="s">
        <v>464</v>
      </c>
      <c r="D116" s="141"/>
      <c r="E116" s="142"/>
      <c r="F116" s="143">
        <v>0</v>
      </c>
      <c r="G116" s="143">
        <v>0</v>
      </c>
      <c r="H116" s="144">
        <f t="shared" si="18"/>
        <v>0</v>
      </c>
      <c r="I116" s="145">
        <f t="shared" si="19"/>
        <v>0</v>
      </c>
      <c r="J116" s="146"/>
      <c r="K116" s="143">
        <v>0</v>
      </c>
      <c r="L116" s="143">
        <v>0</v>
      </c>
      <c r="M116" s="144">
        <f t="shared" si="20"/>
        <v>0</v>
      </c>
      <c r="N116" s="145">
        <f t="shared" si="21"/>
        <v>0</v>
      </c>
      <c r="O116" s="147"/>
      <c r="P116" s="146"/>
      <c r="Q116" s="143">
        <v>0</v>
      </c>
      <c r="R116" s="143">
        <v>0</v>
      </c>
      <c r="S116" s="144">
        <f t="shared" si="22"/>
        <v>0</v>
      </c>
      <c r="T116" s="145">
        <f t="shared" si="23"/>
        <v>0</v>
      </c>
      <c r="U116" s="146"/>
      <c r="V116" s="143">
        <v>381232.9</v>
      </c>
      <c r="W116" s="143">
        <v>1313032.51</v>
      </c>
      <c r="X116" s="144">
        <f t="shared" si="24"/>
        <v>-931799.61</v>
      </c>
      <c r="Y116" s="145">
        <f t="shared" si="25"/>
        <v>-0.70965463756872249</v>
      </c>
      <c r="Z116" s="148"/>
      <c r="AA116" s="149">
        <v>0</v>
      </c>
      <c r="AB116" s="150"/>
      <c r="AC116" s="117">
        <v>0</v>
      </c>
      <c r="AD116" s="117">
        <v>0</v>
      </c>
      <c r="AE116" s="117">
        <v>0</v>
      </c>
      <c r="AF116" s="117">
        <v>0</v>
      </c>
      <c r="AG116" s="117">
        <v>0</v>
      </c>
      <c r="AH116" s="117">
        <v>381232.9</v>
      </c>
      <c r="AI116" s="117">
        <v>0</v>
      </c>
      <c r="AJ116" s="117">
        <v>0</v>
      </c>
      <c r="AK116" s="117">
        <v>0</v>
      </c>
      <c r="AL116" s="117">
        <v>0</v>
      </c>
      <c r="AM116" s="117">
        <v>0</v>
      </c>
      <c r="AN116" s="117">
        <v>0</v>
      </c>
      <c r="AO116" s="150"/>
      <c r="AP116" s="117">
        <v>0</v>
      </c>
      <c r="AQ116" s="117">
        <v>0</v>
      </c>
      <c r="AR116" s="117">
        <v>0</v>
      </c>
      <c r="AS116" s="117">
        <v>0</v>
      </c>
      <c r="AT116" s="117">
        <v>0</v>
      </c>
      <c r="AU116" s="117">
        <v>0</v>
      </c>
      <c r="AV116" s="117">
        <v>0</v>
      </c>
      <c r="AW116" s="117">
        <v>0</v>
      </c>
      <c r="AX116" s="117">
        <v>0</v>
      </c>
      <c r="AY116" s="117">
        <v>0</v>
      </c>
      <c r="AZ116" s="117">
        <v>0</v>
      </c>
      <c r="BA116" s="117">
        <v>0</v>
      </c>
    </row>
    <row r="117" spans="1:53" s="138" customFormat="1" outlineLevel="2" x14ac:dyDescent="0.25">
      <c r="A117" s="138" t="s">
        <v>465</v>
      </c>
      <c r="B117" s="139" t="s">
        <v>466</v>
      </c>
      <c r="C117" s="140" t="s">
        <v>467</v>
      </c>
      <c r="D117" s="141"/>
      <c r="E117" s="142"/>
      <c r="F117" s="143">
        <v>321896.85000000003</v>
      </c>
      <c r="G117" s="143">
        <v>-82830.58</v>
      </c>
      <c r="H117" s="144">
        <f t="shared" si="18"/>
        <v>404727.43000000005</v>
      </c>
      <c r="I117" s="145">
        <f t="shared" si="19"/>
        <v>4.8862078473916277</v>
      </c>
      <c r="J117" s="146"/>
      <c r="K117" s="143">
        <v>505254.14</v>
      </c>
      <c r="L117" s="143">
        <v>91088.540000000008</v>
      </c>
      <c r="M117" s="144">
        <f t="shared" si="20"/>
        <v>414165.6</v>
      </c>
      <c r="N117" s="145">
        <f t="shared" si="21"/>
        <v>4.5468463980210894</v>
      </c>
      <c r="O117" s="147"/>
      <c r="P117" s="146"/>
      <c r="Q117" s="143">
        <v>577290</v>
      </c>
      <c r="R117" s="143">
        <v>242606.02000000002</v>
      </c>
      <c r="S117" s="144">
        <f t="shared" si="22"/>
        <v>334683.98</v>
      </c>
      <c r="T117" s="145">
        <f t="shared" si="23"/>
        <v>1.3795369958255774</v>
      </c>
      <c r="U117" s="146"/>
      <c r="V117" s="143">
        <v>1628580.7200000002</v>
      </c>
      <c r="W117" s="143">
        <v>3286103.72</v>
      </c>
      <c r="X117" s="144">
        <f t="shared" si="24"/>
        <v>-1657523</v>
      </c>
      <c r="Y117" s="145">
        <f t="shared" si="25"/>
        <v>-0.50440373805364846</v>
      </c>
      <c r="Z117" s="148"/>
      <c r="AA117" s="149">
        <v>151517.48000000001</v>
      </c>
      <c r="AB117" s="150"/>
      <c r="AC117" s="117">
        <v>173919.12</v>
      </c>
      <c r="AD117" s="117">
        <v>-82830.58</v>
      </c>
      <c r="AE117" s="117">
        <v>91310.25</v>
      </c>
      <c r="AF117" s="117">
        <v>171363.05000000002</v>
      </c>
      <c r="AG117" s="117">
        <v>207462.75</v>
      </c>
      <c r="AH117" s="117">
        <v>54575.4</v>
      </c>
      <c r="AI117" s="117">
        <v>62001.39</v>
      </c>
      <c r="AJ117" s="117">
        <v>132966.74</v>
      </c>
      <c r="AK117" s="117">
        <v>165324.94</v>
      </c>
      <c r="AL117" s="117">
        <v>116955.35</v>
      </c>
      <c r="AM117" s="117">
        <v>49330.85</v>
      </c>
      <c r="AN117" s="117">
        <v>72035.86</v>
      </c>
      <c r="AO117" s="150"/>
      <c r="AP117" s="117">
        <v>183357.29</v>
      </c>
      <c r="AQ117" s="117">
        <v>321896.85000000003</v>
      </c>
      <c r="AR117" s="117">
        <v>0</v>
      </c>
      <c r="AS117" s="117">
        <v>0</v>
      </c>
      <c r="AT117" s="117">
        <v>0</v>
      </c>
      <c r="AU117" s="117">
        <v>0</v>
      </c>
      <c r="AV117" s="117">
        <v>0</v>
      </c>
      <c r="AW117" s="117">
        <v>0</v>
      </c>
      <c r="AX117" s="117">
        <v>0</v>
      </c>
      <c r="AY117" s="117">
        <v>0</v>
      </c>
      <c r="AZ117" s="117">
        <v>0</v>
      </c>
      <c r="BA117" s="117">
        <v>0</v>
      </c>
    </row>
    <row r="118" spans="1:53" s="138" customFormat="1" outlineLevel="2" x14ac:dyDescent="0.25">
      <c r="A118" s="138" t="s">
        <v>468</v>
      </c>
      <c r="B118" s="139" t="s">
        <v>469</v>
      </c>
      <c r="C118" s="140" t="s">
        <v>470</v>
      </c>
      <c r="D118" s="141"/>
      <c r="E118" s="142"/>
      <c r="F118" s="143">
        <v>523835.46</v>
      </c>
      <c r="G118" s="143">
        <v>0</v>
      </c>
      <c r="H118" s="144">
        <f t="shared" si="18"/>
        <v>523835.46</v>
      </c>
      <c r="I118" s="145" t="str">
        <f t="shared" si="19"/>
        <v>N.M.</v>
      </c>
      <c r="J118" s="146"/>
      <c r="K118" s="143">
        <v>1466027.9100000001</v>
      </c>
      <c r="L118" s="143">
        <v>0</v>
      </c>
      <c r="M118" s="144">
        <f t="shared" si="20"/>
        <v>1466027.9100000001</v>
      </c>
      <c r="N118" s="145" t="str">
        <f t="shared" si="21"/>
        <v>N.M.</v>
      </c>
      <c r="O118" s="147"/>
      <c r="P118" s="146"/>
      <c r="Q118" s="143">
        <v>2586640.46</v>
      </c>
      <c r="R118" s="143">
        <v>0</v>
      </c>
      <c r="S118" s="144">
        <f t="shared" si="22"/>
        <v>2586640.46</v>
      </c>
      <c r="T118" s="145" t="str">
        <f t="shared" si="23"/>
        <v>N.M.</v>
      </c>
      <c r="U118" s="146"/>
      <c r="V118" s="143">
        <v>15560523.26</v>
      </c>
      <c r="W118" s="143">
        <v>0</v>
      </c>
      <c r="X118" s="144">
        <f t="shared" si="24"/>
        <v>15560523.26</v>
      </c>
      <c r="Y118" s="145" t="str">
        <f t="shared" si="25"/>
        <v>N.M.</v>
      </c>
      <c r="Z118" s="148"/>
      <c r="AA118" s="149">
        <v>0</v>
      </c>
      <c r="AB118" s="150"/>
      <c r="AC118" s="117">
        <v>0</v>
      </c>
      <c r="AD118" s="117">
        <v>0</v>
      </c>
      <c r="AE118" s="117">
        <v>0</v>
      </c>
      <c r="AF118" s="117">
        <v>0</v>
      </c>
      <c r="AG118" s="117">
        <v>0</v>
      </c>
      <c r="AH118" s="117">
        <v>1313424.77</v>
      </c>
      <c r="AI118" s="117">
        <v>2801348.14</v>
      </c>
      <c r="AJ118" s="117">
        <v>3365520.89</v>
      </c>
      <c r="AK118" s="117">
        <v>1971014.6800000002</v>
      </c>
      <c r="AL118" s="117">
        <v>936445.02</v>
      </c>
      <c r="AM118" s="117">
        <v>2586129.2999999998</v>
      </c>
      <c r="AN118" s="117">
        <v>1120612.55</v>
      </c>
      <c r="AO118" s="150"/>
      <c r="AP118" s="117">
        <v>942192.45000000007</v>
      </c>
      <c r="AQ118" s="117">
        <v>523835.46</v>
      </c>
      <c r="AR118" s="117">
        <v>0</v>
      </c>
      <c r="AS118" s="117">
        <v>0</v>
      </c>
      <c r="AT118" s="117">
        <v>0</v>
      </c>
      <c r="AU118" s="117">
        <v>0</v>
      </c>
      <c r="AV118" s="117">
        <v>0</v>
      </c>
      <c r="AW118" s="117">
        <v>0</v>
      </c>
      <c r="AX118" s="117">
        <v>0</v>
      </c>
      <c r="AY118" s="117">
        <v>0</v>
      </c>
      <c r="AZ118" s="117">
        <v>0</v>
      </c>
      <c r="BA118" s="117">
        <v>0</v>
      </c>
    </row>
    <row r="119" spans="1:53" s="138" customFormat="1" outlineLevel="2" x14ac:dyDescent="0.25">
      <c r="A119" s="138" t="s">
        <v>471</v>
      </c>
      <c r="B119" s="139" t="s">
        <v>472</v>
      </c>
      <c r="C119" s="140" t="s">
        <v>473</v>
      </c>
      <c r="D119" s="141"/>
      <c r="E119" s="142"/>
      <c r="F119" s="143">
        <v>43829.88</v>
      </c>
      <c r="G119" s="143">
        <v>50156.55</v>
      </c>
      <c r="H119" s="144">
        <f t="shared" si="18"/>
        <v>-6326.6700000000055</v>
      </c>
      <c r="I119" s="145">
        <f t="shared" si="19"/>
        <v>-0.12613846048023647</v>
      </c>
      <c r="J119" s="146"/>
      <c r="K119" s="143">
        <v>77431.7</v>
      </c>
      <c r="L119" s="143">
        <v>70714.98</v>
      </c>
      <c r="M119" s="144">
        <f t="shared" si="20"/>
        <v>6716.7200000000012</v>
      </c>
      <c r="N119" s="145">
        <f t="shared" si="21"/>
        <v>9.4982986631686833E-2</v>
      </c>
      <c r="O119" s="147"/>
      <c r="P119" s="146"/>
      <c r="Q119" s="143">
        <v>126214.95999999999</v>
      </c>
      <c r="R119" s="143">
        <v>86947.54</v>
      </c>
      <c r="S119" s="144">
        <f t="shared" si="22"/>
        <v>39267.42</v>
      </c>
      <c r="T119" s="145">
        <f t="shared" si="23"/>
        <v>0.45162197803411114</v>
      </c>
      <c r="U119" s="146"/>
      <c r="V119" s="143">
        <v>429803.58</v>
      </c>
      <c r="W119" s="143">
        <v>364899.43</v>
      </c>
      <c r="X119" s="144">
        <f t="shared" si="24"/>
        <v>64904.150000000023</v>
      </c>
      <c r="Y119" s="145">
        <f t="shared" si="25"/>
        <v>0.17786859793121634</v>
      </c>
      <c r="Z119" s="148"/>
      <c r="AA119" s="149">
        <v>16232.56</v>
      </c>
      <c r="AB119" s="150"/>
      <c r="AC119" s="117">
        <v>20558.43</v>
      </c>
      <c r="AD119" s="117">
        <v>50156.55</v>
      </c>
      <c r="AE119" s="117">
        <v>17068.78</v>
      </c>
      <c r="AF119" s="117">
        <v>27659.940000000002</v>
      </c>
      <c r="AG119" s="117">
        <v>28559.96</v>
      </c>
      <c r="AH119" s="117">
        <v>25497.22</v>
      </c>
      <c r="AI119" s="117">
        <v>35462.6</v>
      </c>
      <c r="AJ119" s="117">
        <v>50147.98</v>
      </c>
      <c r="AK119" s="117">
        <v>38603.54</v>
      </c>
      <c r="AL119" s="117">
        <v>41105.200000000004</v>
      </c>
      <c r="AM119" s="117">
        <v>39483.4</v>
      </c>
      <c r="AN119" s="117">
        <v>48783.26</v>
      </c>
      <c r="AO119" s="150"/>
      <c r="AP119" s="117">
        <v>33601.82</v>
      </c>
      <c r="AQ119" s="117">
        <v>43829.88</v>
      </c>
      <c r="AR119" s="117">
        <v>-5320.83</v>
      </c>
      <c r="AS119" s="117">
        <v>0</v>
      </c>
      <c r="AT119" s="117">
        <v>0</v>
      </c>
      <c r="AU119" s="117">
        <v>0</v>
      </c>
      <c r="AV119" s="117">
        <v>0</v>
      </c>
      <c r="AW119" s="117">
        <v>0</v>
      </c>
      <c r="AX119" s="117">
        <v>0</v>
      </c>
      <c r="AY119" s="117">
        <v>0</v>
      </c>
      <c r="AZ119" s="117">
        <v>0</v>
      </c>
      <c r="BA119" s="117">
        <v>0</v>
      </c>
    </row>
    <row r="120" spans="1:53" s="138" customFormat="1" outlineLevel="2" x14ac:dyDescent="0.25">
      <c r="A120" s="138" t="s">
        <v>474</v>
      </c>
      <c r="B120" s="139" t="s">
        <v>475</v>
      </c>
      <c r="C120" s="140" t="s">
        <v>476</v>
      </c>
      <c r="D120" s="141"/>
      <c r="E120" s="142"/>
      <c r="F120" s="143">
        <v>-30260.14</v>
      </c>
      <c r="G120" s="143">
        <v>-53933.55</v>
      </c>
      <c r="H120" s="144">
        <f t="shared" si="18"/>
        <v>23673.410000000003</v>
      </c>
      <c r="I120" s="145">
        <f t="shared" si="19"/>
        <v>0.43893661737452849</v>
      </c>
      <c r="J120" s="146"/>
      <c r="K120" s="143">
        <v>-144385.61000000002</v>
      </c>
      <c r="L120" s="143">
        <v>-92175.45</v>
      </c>
      <c r="M120" s="144">
        <f t="shared" si="20"/>
        <v>-52210.160000000018</v>
      </c>
      <c r="N120" s="145">
        <f t="shared" si="21"/>
        <v>-0.56642153632013748</v>
      </c>
      <c r="O120" s="147"/>
      <c r="P120" s="146"/>
      <c r="Q120" s="143">
        <v>-144385.61000000002</v>
      </c>
      <c r="R120" s="143">
        <v>-112907.35</v>
      </c>
      <c r="S120" s="144">
        <f t="shared" si="22"/>
        <v>-31478.260000000009</v>
      </c>
      <c r="T120" s="145">
        <f t="shared" si="23"/>
        <v>-0.27879726164859958</v>
      </c>
      <c r="U120" s="146"/>
      <c r="V120" s="143">
        <v>-544285.17000000004</v>
      </c>
      <c r="W120" s="143">
        <v>-469227.41000000003</v>
      </c>
      <c r="X120" s="144">
        <f t="shared" si="24"/>
        <v>-75057.760000000009</v>
      </c>
      <c r="Y120" s="145">
        <f t="shared" si="25"/>
        <v>-0.15996030581418932</v>
      </c>
      <c r="Z120" s="148"/>
      <c r="AA120" s="149">
        <v>-20731.900000000001</v>
      </c>
      <c r="AB120" s="150"/>
      <c r="AC120" s="117">
        <v>-38241.9</v>
      </c>
      <c r="AD120" s="117">
        <v>-53933.55</v>
      </c>
      <c r="AE120" s="117">
        <v>-58965.85</v>
      </c>
      <c r="AF120" s="117">
        <v>0</v>
      </c>
      <c r="AG120" s="117">
        <v>-77415.88</v>
      </c>
      <c r="AH120" s="117">
        <v>-66575.55</v>
      </c>
      <c r="AI120" s="117">
        <v>-55167.07</v>
      </c>
      <c r="AJ120" s="117">
        <v>-47905.69</v>
      </c>
      <c r="AK120" s="117">
        <v>0</v>
      </c>
      <c r="AL120" s="117">
        <v>-75981.03</v>
      </c>
      <c r="AM120" s="117">
        <v>-17888.490000000002</v>
      </c>
      <c r="AN120" s="117">
        <v>0</v>
      </c>
      <c r="AO120" s="150"/>
      <c r="AP120" s="117">
        <v>-114125.47</v>
      </c>
      <c r="AQ120" s="117">
        <v>-30260.14</v>
      </c>
      <c r="AR120" s="117">
        <v>0</v>
      </c>
      <c r="AS120" s="117">
        <v>0</v>
      </c>
      <c r="AT120" s="117">
        <v>0</v>
      </c>
      <c r="AU120" s="117">
        <v>0</v>
      </c>
      <c r="AV120" s="117">
        <v>0</v>
      </c>
      <c r="AW120" s="117">
        <v>0</v>
      </c>
      <c r="AX120" s="117">
        <v>0</v>
      </c>
      <c r="AY120" s="117">
        <v>0</v>
      </c>
      <c r="AZ120" s="117">
        <v>0</v>
      </c>
      <c r="BA120" s="117">
        <v>0</v>
      </c>
    </row>
    <row r="121" spans="1:53" s="138" customFormat="1" outlineLevel="2" x14ac:dyDescent="0.25">
      <c r="A121" s="138" t="s">
        <v>477</v>
      </c>
      <c r="B121" s="139" t="s">
        <v>478</v>
      </c>
      <c r="C121" s="140" t="s">
        <v>479</v>
      </c>
      <c r="D121" s="141"/>
      <c r="E121" s="142"/>
      <c r="F121" s="143">
        <v>0</v>
      </c>
      <c r="G121" s="143">
        <v>0</v>
      </c>
      <c r="H121" s="144">
        <f t="shared" si="18"/>
        <v>0</v>
      </c>
      <c r="I121" s="145">
        <f t="shared" si="19"/>
        <v>0</v>
      </c>
      <c r="J121" s="146"/>
      <c r="K121" s="143">
        <v>0</v>
      </c>
      <c r="L121" s="143">
        <v>0</v>
      </c>
      <c r="M121" s="144">
        <f t="shared" si="20"/>
        <v>0</v>
      </c>
      <c r="N121" s="145">
        <f t="shared" si="21"/>
        <v>0</v>
      </c>
      <c r="O121" s="147"/>
      <c r="P121" s="146"/>
      <c r="Q121" s="143">
        <v>0</v>
      </c>
      <c r="R121" s="143">
        <v>0</v>
      </c>
      <c r="S121" s="144">
        <f t="shared" si="22"/>
        <v>0</v>
      </c>
      <c r="T121" s="145">
        <f t="shared" si="23"/>
        <v>0</v>
      </c>
      <c r="U121" s="146"/>
      <c r="V121" s="143">
        <v>0</v>
      </c>
      <c r="W121" s="143">
        <v>0</v>
      </c>
      <c r="X121" s="144">
        <f t="shared" si="24"/>
        <v>0</v>
      </c>
      <c r="Y121" s="145">
        <f t="shared" si="25"/>
        <v>0</v>
      </c>
      <c r="Z121" s="148"/>
      <c r="AA121" s="149">
        <v>0</v>
      </c>
      <c r="AB121" s="150"/>
      <c r="AC121" s="117">
        <v>0</v>
      </c>
      <c r="AD121" s="117">
        <v>0</v>
      </c>
      <c r="AE121" s="117">
        <v>0</v>
      </c>
      <c r="AF121" s="117">
        <v>0</v>
      </c>
      <c r="AG121" s="117">
        <v>0</v>
      </c>
      <c r="AH121" s="117">
        <v>0</v>
      </c>
      <c r="AI121" s="117">
        <v>0</v>
      </c>
      <c r="AJ121" s="117">
        <v>0</v>
      </c>
      <c r="AK121" s="117">
        <v>0</v>
      </c>
      <c r="AL121" s="117">
        <v>0</v>
      </c>
      <c r="AM121" s="117">
        <v>0</v>
      </c>
      <c r="AN121" s="117">
        <v>0</v>
      </c>
      <c r="AO121" s="150"/>
      <c r="AP121" s="117">
        <v>0</v>
      </c>
      <c r="AQ121" s="117">
        <v>0</v>
      </c>
      <c r="AR121" s="117">
        <v>0</v>
      </c>
      <c r="AS121" s="117">
        <v>0</v>
      </c>
      <c r="AT121" s="117">
        <v>0</v>
      </c>
      <c r="AU121" s="117">
        <v>0</v>
      </c>
      <c r="AV121" s="117">
        <v>0</v>
      </c>
      <c r="AW121" s="117">
        <v>0</v>
      </c>
      <c r="AX121" s="117">
        <v>0</v>
      </c>
      <c r="AY121" s="117">
        <v>0</v>
      </c>
      <c r="AZ121" s="117">
        <v>0</v>
      </c>
      <c r="BA121" s="117">
        <v>0</v>
      </c>
    </row>
    <row r="122" spans="1:53" s="138" customFormat="1" outlineLevel="2" x14ac:dyDescent="0.25">
      <c r="A122" s="138" t="s">
        <v>480</v>
      </c>
      <c r="B122" s="139" t="s">
        <v>481</v>
      </c>
      <c r="C122" s="140" t="s">
        <v>482</v>
      </c>
      <c r="D122" s="141"/>
      <c r="E122" s="142"/>
      <c r="F122" s="143">
        <v>0</v>
      </c>
      <c r="G122" s="143">
        <v>0</v>
      </c>
      <c r="H122" s="144">
        <f t="shared" si="18"/>
        <v>0</v>
      </c>
      <c r="I122" s="145">
        <f t="shared" si="19"/>
        <v>0</v>
      </c>
      <c r="J122" s="146"/>
      <c r="K122" s="143">
        <v>0</v>
      </c>
      <c r="L122" s="143">
        <v>0</v>
      </c>
      <c r="M122" s="144">
        <f t="shared" si="20"/>
        <v>0</v>
      </c>
      <c r="N122" s="145">
        <f t="shared" si="21"/>
        <v>0</v>
      </c>
      <c r="O122" s="147"/>
      <c r="P122" s="146"/>
      <c r="Q122" s="143">
        <v>0</v>
      </c>
      <c r="R122" s="143">
        <v>500</v>
      </c>
      <c r="S122" s="144">
        <f t="shared" si="22"/>
        <v>-500</v>
      </c>
      <c r="T122" s="145" t="str">
        <f t="shared" si="23"/>
        <v>N.M.</v>
      </c>
      <c r="U122" s="146"/>
      <c r="V122" s="143">
        <v>0</v>
      </c>
      <c r="W122" s="143">
        <v>500</v>
      </c>
      <c r="X122" s="144">
        <f t="shared" si="24"/>
        <v>-500</v>
      </c>
      <c r="Y122" s="145" t="str">
        <f t="shared" si="25"/>
        <v>N.M.</v>
      </c>
      <c r="Z122" s="148"/>
      <c r="AA122" s="149">
        <v>500</v>
      </c>
      <c r="AB122" s="150"/>
      <c r="AC122" s="117">
        <v>0</v>
      </c>
      <c r="AD122" s="117">
        <v>0</v>
      </c>
      <c r="AE122" s="117">
        <v>0</v>
      </c>
      <c r="AF122" s="117">
        <v>0</v>
      </c>
      <c r="AG122" s="117">
        <v>0</v>
      </c>
      <c r="AH122" s="117">
        <v>0</v>
      </c>
      <c r="AI122" s="117">
        <v>0</v>
      </c>
      <c r="AJ122" s="117">
        <v>0</v>
      </c>
      <c r="AK122" s="117">
        <v>0</v>
      </c>
      <c r="AL122" s="117">
        <v>0</v>
      </c>
      <c r="AM122" s="117">
        <v>0</v>
      </c>
      <c r="AN122" s="117">
        <v>0</v>
      </c>
      <c r="AO122" s="150"/>
      <c r="AP122" s="117">
        <v>0</v>
      </c>
      <c r="AQ122" s="117">
        <v>0</v>
      </c>
      <c r="AR122" s="117">
        <v>0</v>
      </c>
      <c r="AS122" s="117">
        <v>0</v>
      </c>
      <c r="AT122" s="117">
        <v>0</v>
      </c>
      <c r="AU122" s="117">
        <v>0</v>
      </c>
      <c r="AV122" s="117">
        <v>0</v>
      </c>
      <c r="AW122" s="117">
        <v>0</v>
      </c>
      <c r="AX122" s="117">
        <v>0</v>
      </c>
      <c r="AY122" s="117">
        <v>0</v>
      </c>
      <c r="AZ122" s="117">
        <v>0</v>
      </c>
      <c r="BA122" s="117">
        <v>0</v>
      </c>
    </row>
    <row r="123" spans="1:53" s="138" customFormat="1" outlineLevel="2" x14ac:dyDescent="0.25">
      <c r="A123" s="138" t="s">
        <v>483</v>
      </c>
      <c r="B123" s="139" t="s">
        <v>484</v>
      </c>
      <c r="C123" s="140" t="s">
        <v>485</v>
      </c>
      <c r="D123" s="141"/>
      <c r="E123" s="142"/>
      <c r="F123" s="143">
        <v>491760</v>
      </c>
      <c r="G123" s="143">
        <v>0</v>
      </c>
      <c r="H123" s="144">
        <f t="shared" si="18"/>
        <v>491760</v>
      </c>
      <c r="I123" s="145" t="str">
        <f t="shared" si="19"/>
        <v>N.M.</v>
      </c>
      <c r="J123" s="146"/>
      <c r="K123" s="143">
        <v>1036440</v>
      </c>
      <c r="L123" s="143">
        <v>0</v>
      </c>
      <c r="M123" s="144">
        <f t="shared" si="20"/>
        <v>1036440</v>
      </c>
      <c r="N123" s="145" t="str">
        <f t="shared" si="21"/>
        <v>N.M.</v>
      </c>
      <c r="O123" s="147"/>
      <c r="P123" s="146"/>
      <c r="Q123" s="143">
        <v>1588248</v>
      </c>
      <c r="R123" s="143">
        <v>0</v>
      </c>
      <c r="S123" s="144">
        <f t="shared" si="22"/>
        <v>1588248</v>
      </c>
      <c r="T123" s="145" t="str">
        <f t="shared" si="23"/>
        <v>N.M.</v>
      </c>
      <c r="U123" s="146"/>
      <c r="V123" s="143">
        <v>4831488</v>
      </c>
      <c r="W123" s="143">
        <v>0</v>
      </c>
      <c r="X123" s="144">
        <f t="shared" si="24"/>
        <v>4831488</v>
      </c>
      <c r="Y123" s="145" t="str">
        <f t="shared" si="25"/>
        <v>N.M.</v>
      </c>
      <c r="Z123" s="148"/>
      <c r="AA123" s="149">
        <v>0</v>
      </c>
      <c r="AB123" s="150"/>
      <c r="AC123" s="117">
        <v>0</v>
      </c>
      <c r="AD123" s="117">
        <v>0</v>
      </c>
      <c r="AE123" s="117">
        <v>0</v>
      </c>
      <c r="AF123" s="117">
        <v>0</v>
      </c>
      <c r="AG123" s="117">
        <v>0</v>
      </c>
      <c r="AH123" s="117">
        <v>432000</v>
      </c>
      <c r="AI123" s="117">
        <v>548568</v>
      </c>
      <c r="AJ123" s="117">
        <v>548568</v>
      </c>
      <c r="AK123" s="117">
        <v>631368</v>
      </c>
      <c r="AL123" s="117">
        <v>551808</v>
      </c>
      <c r="AM123" s="117">
        <v>530928</v>
      </c>
      <c r="AN123" s="117">
        <v>551808</v>
      </c>
      <c r="AO123" s="150"/>
      <c r="AP123" s="117">
        <v>544680</v>
      </c>
      <c r="AQ123" s="117">
        <v>491760</v>
      </c>
      <c r="AR123" s="117">
        <v>0</v>
      </c>
      <c r="AS123" s="117">
        <v>0</v>
      </c>
      <c r="AT123" s="117">
        <v>0</v>
      </c>
      <c r="AU123" s="117">
        <v>0</v>
      </c>
      <c r="AV123" s="117">
        <v>0</v>
      </c>
      <c r="AW123" s="117">
        <v>0</v>
      </c>
      <c r="AX123" s="117">
        <v>0</v>
      </c>
      <c r="AY123" s="117">
        <v>0</v>
      </c>
      <c r="AZ123" s="117">
        <v>0</v>
      </c>
      <c r="BA123" s="117">
        <v>0</v>
      </c>
    </row>
    <row r="124" spans="1:53" s="138" customFormat="1" outlineLevel="2" x14ac:dyDescent="0.25">
      <c r="A124" s="138" t="s">
        <v>486</v>
      </c>
      <c r="B124" s="139" t="s">
        <v>487</v>
      </c>
      <c r="C124" s="140" t="s">
        <v>488</v>
      </c>
      <c r="D124" s="141"/>
      <c r="E124" s="142"/>
      <c r="F124" s="143">
        <v>0</v>
      </c>
      <c r="G124" s="143">
        <v>0</v>
      </c>
      <c r="H124" s="144">
        <f t="shared" si="18"/>
        <v>0</v>
      </c>
      <c r="I124" s="145">
        <f t="shared" si="19"/>
        <v>0</v>
      </c>
      <c r="J124" s="146"/>
      <c r="K124" s="143">
        <v>0</v>
      </c>
      <c r="L124" s="143">
        <v>0</v>
      </c>
      <c r="M124" s="144">
        <f t="shared" si="20"/>
        <v>0</v>
      </c>
      <c r="N124" s="145">
        <f t="shared" si="21"/>
        <v>0</v>
      </c>
      <c r="O124" s="147"/>
      <c r="P124" s="146"/>
      <c r="Q124" s="143">
        <v>0</v>
      </c>
      <c r="R124" s="143">
        <v>0</v>
      </c>
      <c r="S124" s="144">
        <f t="shared" si="22"/>
        <v>0</v>
      </c>
      <c r="T124" s="145">
        <f t="shared" si="23"/>
        <v>0</v>
      </c>
      <c r="U124" s="146"/>
      <c r="V124" s="143">
        <v>-13981.970000000001</v>
      </c>
      <c r="W124" s="143">
        <v>0</v>
      </c>
      <c r="X124" s="144">
        <f t="shared" si="24"/>
        <v>-13981.970000000001</v>
      </c>
      <c r="Y124" s="145" t="str">
        <f t="shared" si="25"/>
        <v>N.M.</v>
      </c>
      <c r="Z124" s="148"/>
      <c r="AA124" s="149">
        <v>0</v>
      </c>
      <c r="AB124" s="150"/>
      <c r="AC124" s="117">
        <v>0</v>
      </c>
      <c r="AD124" s="117">
        <v>0</v>
      </c>
      <c r="AE124" s="117">
        <v>0</v>
      </c>
      <c r="AF124" s="117">
        <v>0</v>
      </c>
      <c r="AG124" s="117">
        <v>0</v>
      </c>
      <c r="AH124" s="117">
        <v>0</v>
      </c>
      <c r="AI124" s="117">
        <v>0</v>
      </c>
      <c r="AJ124" s="117">
        <v>-6295.88</v>
      </c>
      <c r="AK124" s="117">
        <v>9396.2100000000009</v>
      </c>
      <c r="AL124" s="117">
        <v>0</v>
      </c>
      <c r="AM124" s="117">
        <v>-17082.3</v>
      </c>
      <c r="AN124" s="117">
        <v>0</v>
      </c>
      <c r="AO124" s="150"/>
      <c r="AP124" s="117">
        <v>0</v>
      </c>
      <c r="AQ124" s="117">
        <v>0</v>
      </c>
      <c r="AR124" s="117">
        <v>0</v>
      </c>
      <c r="AS124" s="117">
        <v>0</v>
      </c>
      <c r="AT124" s="117">
        <v>0</v>
      </c>
      <c r="AU124" s="117">
        <v>0</v>
      </c>
      <c r="AV124" s="117">
        <v>0</v>
      </c>
      <c r="AW124" s="117">
        <v>0</v>
      </c>
      <c r="AX124" s="117">
        <v>0</v>
      </c>
      <c r="AY124" s="117">
        <v>0</v>
      </c>
      <c r="AZ124" s="117">
        <v>0</v>
      </c>
      <c r="BA124" s="117">
        <v>0</v>
      </c>
    </row>
    <row r="125" spans="1:53" s="211" customFormat="1" outlineLevel="1" x14ac:dyDescent="0.25">
      <c r="A125" s="211" t="s">
        <v>489</v>
      </c>
      <c r="B125" s="212"/>
      <c r="C125" s="213" t="s">
        <v>490</v>
      </c>
      <c r="D125" s="229"/>
      <c r="E125" s="229"/>
      <c r="F125" s="215">
        <v>6996693.5799999991</v>
      </c>
      <c r="G125" s="215">
        <v>11616013.84</v>
      </c>
      <c r="H125" s="236">
        <f t="shared" si="18"/>
        <v>-4619320.2600000007</v>
      </c>
      <c r="I125" s="237">
        <f t="shared" si="19"/>
        <v>-0.3976682813594169</v>
      </c>
      <c r="J125" s="231"/>
      <c r="K125" s="215">
        <v>12189296.26</v>
      </c>
      <c r="L125" s="215">
        <v>17523917.25</v>
      </c>
      <c r="M125" s="236">
        <f t="shared" si="20"/>
        <v>-5334620.99</v>
      </c>
      <c r="N125" s="232">
        <f t="shared" si="21"/>
        <v>-0.30441943510090475</v>
      </c>
      <c r="O125" s="233"/>
      <c r="P125" s="233"/>
      <c r="Q125" s="215">
        <v>24273068</v>
      </c>
      <c r="R125" s="215">
        <v>26342938.720000003</v>
      </c>
      <c r="S125" s="236">
        <f t="shared" si="22"/>
        <v>-2069870.7200000025</v>
      </c>
      <c r="T125" s="237">
        <f t="shared" si="23"/>
        <v>-7.8574024788985369E-2</v>
      </c>
      <c r="U125" s="233"/>
      <c r="V125" s="215">
        <v>109100547.88999999</v>
      </c>
      <c r="W125" s="215">
        <v>129869095.72000003</v>
      </c>
      <c r="X125" s="236">
        <f t="shared" si="24"/>
        <v>-20768547.830000043</v>
      </c>
      <c r="Y125" s="232">
        <f t="shared" si="25"/>
        <v>-0.15991909171969121</v>
      </c>
      <c r="AA125" s="215">
        <v>8819021.4700000007</v>
      </c>
      <c r="AB125" s="235"/>
      <c r="AC125" s="215">
        <v>5907903.4099999992</v>
      </c>
      <c r="AD125" s="215">
        <v>11616013.84</v>
      </c>
      <c r="AE125" s="215">
        <v>10012973.290000001</v>
      </c>
      <c r="AF125" s="215">
        <v>5423804.8100000005</v>
      </c>
      <c r="AG125" s="215">
        <v>5959861.8000000007</v>
      </c>
      <c r="AH125" s="215">
        <v>11226128.480000002</v>
      </c>
      <c r="AI125" s="215">
        <v>11993013.060000001</v>
      </c>
      <c r="AJ125" s="215">
        <v>11918697.280000001</v>
      </c>
      <c r="AK125" s="215">
        <v>7043558.6800000016</v>
      </c>
      <c r="AL125" s="215">
        <v>5015145.34</v>
      </c>
      <c r="AM125" s="215">
        <v>16234297.149999999</v>
      </c>
      <c r="AN125" s="215">
        <v>12083771.740000002</v>
      </c>
      <c r="AO125" s="235"/>
      <c r="AP125" s="215">
        <v>5192602.6800000006</v>
      </c>
      <c r="AQ125" s="215">
        <v>6996693.5799999991</v>
      </c>
      <c r="AR125" s="215">
        <v>1475086.75</v>
      </c>
      <c r="AS125" s="215">
        <v>1159354</v>
      </c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</row>
    <row r="126" spans="1:53" s="211" customFormat="1" ht="0.75" customHeight="1" outlineLevel="2" x14ac:dyDescent="0.25">
      <c r="B126" s="212"/>
      <c r="C126" s="213"/>
      <c r="D126" s="229"/>
      <c r="E126" s="229"/>
      <c r="F126" s="215"/>
      <c r="G126" s="215"/>
      <c r="H126" s="236"/>
      <c r="I126" s="237"/>
      <c r="J126" s="231"/>
      <c r="K126" s="215"/>
      <c r="L126" s="215"/>
      <c r="M126" s="236"/>
      <c r="N126" s="232"/>
      <c r="O126" s="233"/>
      <c r="P126" s="233"/>
      <c r="Q126" s="215"/>
      <c r="R126" s="215"/>
      <c r="S126" s="236"/>
      <c r="T126" s="237"/>
      <c r="U126" s="233"/>
      <c r="V126" s="215"/>
      <c r="W126" s="215"/>
      <c r="X126" s="236"/>
      <c r="Y126" s="232"/>
      <c r="AA126" s="215"/>
      <c r="AB126" s="23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3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</row>
    <row r="127" spans="1:53" s="138" customFormat="1" outlineLevel="2" x14ac:dyDescent="0.25">
      <c r="A127" s="138" t="s">
        <v>491</v>
      </c>
      <c r="B127" s="139" t="s">
        <v>492</v>
      </c>
      <c r="C127" s="140" t="s">
        <v>493</v>
      </c>
      <c r="D127" s="141"/>
      <c r="E127" s="142"/>
      <c r="F127" s="143">
        <v>358083.17</v>
      </c>
      <c r="G127" s="143">
        <v>293748.83</v>
      </c>
      <c r="H127" s="144">
        <f t="shared" ref="H127:H151" si="26">+F127-G127</f>
        <v>64334.339999999967</v>
      </c>
      <c r="I127" s="145">
        <f t="shared" ref="I127:I151" si="27">IF(G127&lt;0,IF(H127=0,0,IF(OR(G127=0,F127=0),"N.M.",IF(ABS(H127/G127)&gt;=10,"N.M.",H127/(-G127)))),IF(H127=0,0,IF(OR(G127=0,F127=0),"N.M.",IF(ABS(H127/G127)&gt;=10,"N.M.",H127/G127))))</f>
        <v>0.21901139146664844</v>
      </c>
      <c r="J127" s="146"/>
      <c r="K127" s="143">
        <v>809857.78</v>
      </c>
      <c r="L127" s="143">
        <v>471578.8</v>
      </c>
      <c r="M127" s="144">
        <f t="shared" ref="M127:M151" si="28">+K127-L127</f>
        <v>338278.98000000004</v>
      </c>
      <c r="N127" s="145">
        <f t="shared" ref="N127:N151" si="29">IF(L127&lt;0,IF(M127=0,0,IF(OR(L127=0,K127=0),"N.M.",IF(ABS(M127/L127)&gt;=10,"N.M.",M127/(-L127)))),IF(M127=0,0,IF(OR(L127=0,K127=0),"N.M.",IF(ABS(M127/L127)&gt;=10,"N.M.",M127/L127))))</f>
        <v>0.71733288264866879</v>
      </c>
      <c r="O127" s="147"/>
      <c r="P127" s="146"/>
      <c r="Q127" s="143">
        <v>1170845.06</v>
      </c>
      <c r="R127" s="143">
        <v>795754.98</v>
      </c>
      <c r="S127" s="144">
        <f t="shared" ref="S127:S151" si="30">+Q127-R127</f>
        <v>375090.08000000007</v>
      </c>
      <c r="T127" s="145">
        <f t="shared" ref="T127:T151" si="31">IF(R127&lt;0,IF(S127=0,0,IF(OR(R127=0,Q127=0),"N.M.",IF(ABS(S127/R127)&gt;=10,"N.M.",S127/(-R127)))),IF(S127=0,0,IF(OR(R127=0,Q127=0),"N.M.",IF(ABS(S127/R127)&gt;=10,"N.M.",S127/R127))))</f>
        <v>0.47136378587288275</v>
      </c>
      <c r="U127" s="146"/>
      <c r="V127" s="143">
        <v>3544533.2819999997</v>
      </c>
      <c r="W127" s="143">
        <v>3452401.1999999997</v>
      </c>
      <c r="X127" s="144">
        <f t="shared" ref="X127:X151" si="32">+V127-W127</f>
        <v>92132.081999999937</v>
      </c>
      <c r="Y127" s="145">
        <f t="shared" ref="Y127:Y151" si="33">IF(W127&lt;0,IF(X127=0,0,IF(OR(W127=0,V127=0),"N.M.",IF(ABS(X127/W127)&gt;=10,"N.M.",X127/(-W127)))),IF(X127=0,0,IF(OR(W127=0,V127=0),"N.M.",IF(ABS(X127/W127)&gt;=10,"N.M.",X127/W127))))</f>
        <v>2.6686377585548267E-2</v>
      </c>
      <c r="Z127" s="148"/>
      <c r="AA127" s="149">
        <v>324176.18</v>
      </c>
      <c r="AB127" s="150"/>
      <c r="AC127" s="117">
        <v>177829.97</v>
      </c>
      <c r="AD127" s="117">
        <v>293748.83</v>
      </c>
      <c r="AE127" s="117">
        <v>279566.57</v>
      </c>
      <c r="AF127" s="117">
        <v>244973.9</v>
      </c>
      <c r="AG127" s="117">
        <v>230882.41200000001</v>
      </c>
      <c r="AH127" s="117">
        <v>249755.36000000002</v>
      </c>
      <c r="AI127" s="117">
        <v>270458.61</v>
      </c>
      <c r="AJ127" s="117">
        <v>319793.99</v>
      </c>
      <c r="AK127" s="117">
        <v>290002.08</v>
      </c>
      <c r="AL127" s="117">
        <v>213056.49</v>
      </c>
      <c r="AM127" s="117">
        <v>275198.81</v>
      </c>
      <c r="AN127" s="117">
        <v>360987.28</v>
      </c>
      <c r="AO127" s="150"/>
      <c r="AP127" s="117">
        <v>451774.61</v>
      </c>
      <c r="AQ127" s="117">
        <v>358083.17</v>
      </c>
      <c r="AR127" s="117">
        <v>-8801.35</v>
      </c>
      <c r="AS127" s="117">
        <v>0</v>
      </c>
      <c r="AT127" s="117">
        <v>0</v>
      </c>
      <c r="AU127" s="117">
        <v>0</v>
      </c>
      <c r="AV127" s="117">
        <v>0</v>
      </c>
      <c r="AW127" s="117">
        <v>0</v>
      </c>
      <c r="AX127" s="117">
        <v>0</v>
      </c>
      <c r="AY127" s="117">
        <v>0</v>
      </c>
      <c r="AZ127" s="117">
        <v>0</v>
      </c>
      <c r="BA127" s="117">
        <v>0</v>
      </c>
    </row>
    <row r="128" spans="1:53" s="138" customFormat="1" outlineLevel="2" x14ac:dyDescent="0.25">
      <c r="A128" s="138" t="s">
        <v>494</v>
      </c>
      <c r="B128" s="139" t="s">
        <v>495</v>
      </c>
      <c r="C128" s="140" t="s">
        <v>496</v>
      </c>
      <c r="D128" s="141"/>
      <c r="E128" s="142"/>
      <c r="F128" s="143">
        <v>13939.2</v>
      </c>
      <c r="G128" s="143">
        <v>3544.652</v>
      </c>
      <c r="H128" s="144">
        <f t="shared" si="26"/>
        <v>10394.548000000001</v>
      </c>
      <c r="I128" s="145">
        <f t="shared" si="27"/>
        <v>2.9324593782407979</v>
      </c>
      <c r="J128" s="146"/>
      <c r="K128" s="143">
        <v>16646.402999999998</v>
      </c>
      <c r="L128" s="143">
        <v>10854.203</v>
      </c>
      <c r="M128" s="144">
        <f t="shared" si="28"/>
        <v>5792.1999999999989</v>
      </c>
      <c r="N128" s="145">
        <f t="shared" si="29"/>
        <v>0.53363660141605962</v>
      </c>
      <c r="O128" s="147"/>
      <c r="P128" s="146"/>
      <c r="Q128" s="143">
        <v>22957.923999999999</v>
      </c>
      <c r="R128" s="143">
        <v>11175.189999999999</v>
      </c>
      <c r="S128" s="144">
        <f t="shared" si="30"/>
        <v>11782.734</v>
      </c>
      <c r="T128" s="145">
        <f t="shared" si="31"/>
        <v>1.0543654291336435</v>
      </c>
      <c r="U128" s="146"/>
      <c r="V128" s="143">
        <v>50349.788</v>
      </c>
      <c r="W128" s="143">
        <v>49828.86</v>
      </c>
      <c r="X128" s="144">
        <f t="shared" si="32"/>
        <v>520.92799999999988</v>
      </c>
      <c r="Y128" s="145">
        <f t="shared" si="33"/>
        <v>1.0454343125650474E-2</v>
      </c>
      <c r="Z128" s="148"/>
      <c r="AA128" s="149">
        <v>320.98700000000002</v>
      </c>
      <c r="AB128" s="150"/>
      <c r="AC128" s="117">
        <v>7309.5510000000004</v>
      </c>
      <c r="AD128" s="117">
        <v>3544.652</v>
      </c>
      <c r="AE128" s="117">
        <v>3990.29</v>
      </c>
      <c r="AF128" s="117">
        <v>5428.11</v>
      </c>
      <c r="AG128" s="117">
        <v>-138.97</v>
      </c>
      <c r="AH128" s="117">
        <v>619.15</v>
      </c>
      <c r="AI128" s="117">
        <v>3924.58</v>
      </c>
      <c r="AJ128" s="117">
        <v>9218.1370000000006</v>
      </c>
      <c r="AK128" s="117">
        <v>1832.1580000000001</v>
      </c>
      <c r="AL128" s="117">
        <v>2182.201</v>
      </c>
      <c r="AM128" s="117">
        <v>336.20800000000003</v>
      </c>
      <c r="AN128" s="117">
        <v>6311.5210000000006</v>
      </c>
      <c r="AO128" s="150"/>
      <c r="AP128" s="117">
        <v>2707.203</v>
      </c>
      <c r="AQ128" s="117">
        <v>13939.2</v>
      </c>
      <c r="AR128" s="117">
        <v>0</v>
      </c>
      <c r="AS128" s="117">
        <v>0</v>
      </c>
      <c r="AT128" s="117">
        <v>0</v>
      </c>
      <c r="AU128" s="117">
        <v>0</v>
      </c>
      <c r="AV128" s="117">
        <v>0</v>
      </c>
      <c r="AW128" s="117">
        <v>0</v>
      </c>
      <c r="AX128" s="117">
        <v>0</v>
      </c>
      <c r="AY128" s="117">
        <v>0</v>
      </c>
      <c r="AZ128" s="117">
        <v>0</v>
      </c>
      <c r="BA128" s="117">
        <v>0</v>
      </c>
    </row>
    <row r="129" spans="1:53" s="138" customFormat="1" outlineLevel="2" x14ac:dyDescent="0.25">
      <c r="A129" s="138" t="s">
        <v>497</v>
      </c>
      <c r="B129" s="139" t="s">
        <v>498</v>
      </c>
      <c r="C129" s="140" t="s">
        <v>499</v>
      </c>
      <c r="D129" s="141"/>
      <c r="E129" s="142"/>
      <c r="F129" s="143">
        <v>77581.37</v>
      </c>
      <c r="G129" s="143">
        <v>67910.78</v>
      </c>
      <c r="H129" s="144">
        <f t="shared" si="26"/>
        <v>9670.5899999999965</v>
      </c>
      <c r="I129" s="145">
        <f t="shared" si="27"/>
        <v>0.14240139783404043</v>
      </c>
      <c r="J129" s="146"/>
      <c r="K129" s="143">
        <v>191442.01</v>
      </c>
      <c r="L129" s="143">
        <v>192155.06</v>
      </c>
      <c r="M129" s="144">
        <f t="shared" si="28"/>
        <v>-713.04999999998836</v>
      </c>
      <c r="N129" s="145">
        <f t="shared" si="29"/>
        <v>-3.7108052215746408E-3</v>
      </c>
      <c r="O129" s="147"/>
      <c r="P129" s="146"/>
      <c r="Q129" s="143">
        <v>150175.51</v>
      </c>
      <c r="R129" s="143">
        <v>340295.17000000004</v>
      </c>
      <c r="S129" s="144">
        <f t="shared" si="30"/>
        <v>-190119.66000000003</v>
      </c>
      <c r="T129" s="145">
        <f t="shared" si="31"/>
        <v>-0.55869044512151023</v>
      </c>
      <c r="U129" s="146"/>
      <c r="V129" s="143">
        <v>1091833.8</v>
      </c>
      <c r="W129" s="143">
        <v>1974345.67</v>
      </c>
      <c r="X129" s="144">
        <f t="shared" si="32"/>
        <v>-882511.86999999988</v>
      </c>
      <c r="Y129" s="145">
        <f t="shared" si="33"/>
        <v>-0.44698954362940907</v>
      </c>
      <c r="Z129" s="148"/>
      <c r="AA129" s="149">
        <v>148140.11000000002</v>
      </c>
      <c r="AB129" s="150"/>
      <c r="AC129" s="117">
        <v>124244.28</v>
      </c>
      <c r="AD129" s="117">
        <v>67910.78</v>
      </c>
      <c r="AE129" s="117">
        <v>113884.66</v>
      </c>
      <c r="AF129" s="117">
        <v>101032.59</v>
      </c>
      <c r="AG129" s="117">
        <v>90475.89</v>
      </c>
      <c r="AH129" s="117">
        <v>105573.44</v>
      </c>
      <c r="AI129" s="117">
        <v>138996.31</v>
      </c>
      <c r="AJ129" s="117">
        <v>94148.66</v>
      </c>
      <c r="AK129" s="117">
        <v>115460.84</v>
      </c>
      <c r="AL129" s="117">
        <v>86191.92</v>
      </c>
      <c r="AM129" s="117">
        <v>95893.98</v>
      </c>
      <c r="AN129" s="117">
        <v>-41266.5</v>
      </c>
      <c r="AO129" s="150"/>
      <c r="AP129" s="117">
        <v>113860.64</v>
      </c>
      <c r="AQ129" s="117">
        <v>77581.37</v>
      </c>
      <c r="AR129" s="117">
        <v>12634.2</v>
      </c>
      <c r="AS129" s="117">
        <v>0</v>
      </c>
      <c r="AT129" s="117">
        <v>0</v>
      </c>
      <c r="AU129" s="117">
        <v>0</v>
      </c>
      <c r="AV129" s="117">
        <v>0</v>
      </c>
      <c r="AW129" s="117">
        <v>0</v>
      </c>
      <c r="AX129" s="117">
        <v>0</v>
      </c>
      <c r="AY129" s="117">
        <v>0</v>
      </c>
      <c r="AZ129" s="117">
        <v>0</v>
      </c>
      <c r="BA129" s="117">
        <v>0</v>
      </c>
    </row>
    <row r="130" spans="1:53" s="138" customFormat="1" outlineLevel="2" x14ac:dyDescent="0.25">
      <c r="A130" s="138" t="s">
        <v>500</v>
      </c>
      <c r="B130" s="139" t="s">
        <v>501</v>
      </c>
      <c r="C130" s="140" t="s">
        <v>502</v>
      </c>
      <c r="D130" s="141"/>
      <c r="E130" s="142"/>
      <c r="F130" s="143">
        <v>29356.560000000001</v>
      </c>
      <c r="G130" s="143">
        <v>215879.06</v>
      </c>
      <c r="H130" s="144">
        <f t="shared" si="26"/>
        <v>-186522.5</v>
      </c>
      <c r="I130" s="145">
        <f t="shared" si="27"/>
        <v>-0.86401386035310701</v>
      </c>
      <c r="J130" s="146"/>
      <c r="K130" s="143">
        <v>96260.53</v>
      </c>
      <c r="L130" s="143">
        <v>349931.95</v>
      </c>
      <c r="M130" s="144">
        <f t="shared" si="28"/>
        <v>-253671.42</v>
      </c>
      <c r="N130" s="145">
        <f t="shared" si="29"/>
        <v>-0.72491643018021079</v>
      </c>
      <c r="O130" s="147"/>
      <c r="P130" s="146"/>
      <c r="Q130" s="143">
        <v>214647.33000000002</v>
      </c>
      <c r="R130" s="143">
        <v>483576.61</v>
      </c>
      <c r="S130" s="144">
        <f t="shared" si="30"/>
        <v>-268929.27999999997</v>
      </c>
      <c r="T130" s="145">
        <f t="shared" si="31"/>
        <v>-0.55612549167752334</v>
      </c>
      <c r="U130" s="146"/>
      <c r="V130" s="143">
        <v>1015443.67</v>
      </c>
      <c r="W130" s="143">
        <v>2013054.21</v>
      </c>
      <c r="X130" s="144">
        <f t="shared" si="32"/>
        <v>-997610.53999999992</v>
      </c>
      <c r="Y130" s="145">
        <f t="shared" si="33"/>
        <v>-0.49557062847304045</v>
      </c>
      <c r="Z130" s="148"/>
      <c r="AA130" s="149">
        <v>133644.66</v>
      </c>
      <c r="AB130" s="150"/>
      <c r="AC130" s="117">
        <v>134052.89000000001</v>
      </c>
      <c r="AD130" s="117">
        <v>215879.06</v>
      </c>
      <c r="AE130" s="117">
        <v>100903.85</v>
      </c>
      <c r="AF130" s="117">
        <v>77335.320000000007</v>
      </c>
      <c r="AG130" s="117">
        <v>61105.42</v>
      </c>
      <c r="AH130" s="117">
        <v>93807.94</v>
      </c>
      <c r="AI130" s="117">
        <v>126801.47</v>
      </c>
      <c r="AJ130" s="117">
        <v>110596.04000000001</v>
      </c>
      <c r="AK130" s="117">
        <v>42022.92</v>
      </c>
      <c r="AL130" s="117">
        <v>32058.850000000002</v>
      </c>
      <c r="AM130" s="117">
        <v>156164.53</v>
      </c>
      <c r="AN130" s="117">
        <v>118386.8</v>
      </c>
      <c r="AO130" s="150"/>
      <c r="AP130" s="117">
        <v>66903.97</v>
      </c>
      <c r="AQ130" s="117">
        <v>29356.560000000001</v>
      </c>
      <c r="AR130" s="117">
        <v>1111.7</v>
      </c>
      <c r="AS130" s="117">
        <v>0</v>
      </c>
      <c r="AT130" s="117">
        <v>0</v>
      </c>
      <c r="AU130" s="117">
        <v>0</v>
      </c>
      <c r="AV130" s="117">
        <v>0</v>
      </c>
      <c r="AW130" s="117">
        <v>0</v>
      </c>
      <c r="AX130" s="117">
        <v>0</v>
      </c>
      <c r="AY130" s="117">
        <v>0</v>
      </c>
      <c r="AZ130" s="117">
        <v>0</v>
      </c>
      <c r="BA130" s="117">
        <v>0</v>
      </c>
    </row>
    <row r="131" spans="1:53" s="138" customFormat="1" outlineLevel="2" x14ac:dyDescent="0.25">
      <c r="A131" s="138" t="s">
        <v>503</v>
      </c>
      <c r="B131" s="139" t="s">
        <v>504</v>
      </c>
      <c r="C131" s="140" t="s">
        <v>505</v>
      </c>
      <c r="D131" s="141"/>
      <c r="E131" s="142"/>
      <c r="F131" s="143">
        <v>23837.29</v>
      </c>
      <c r="G131" s="143">
        <v>38715.629999999997</v>
      </c>
      <c r="H131" s="144">
        <f t="shared" si="26"/>
        <v>-14878.339999999997</v>
      </c>
      <c r="I131" s="145">
        <f t="shared" si="27"/>
        <v>-0.38429802123845064</v>
      </c>
      <c r="J131" s="146"/>
      <c r="K131" s="143">
        <v>53538.25</v>
      </c>
      <c r="L131" s="143">
        <v>60483.33</v>
      </c>
      <c r="M131" s="144">
        <f t="shared" si="28"/>
        <v>-6945.0800000000017</v>
      </c>
      <c r="N131" s="145">
        <f t="shared" si="29"/>
        <v>-0.11482634967353818</v>
      </c>
      <c r="O131" s="147"/>
      <c r="P131" s="146"/>
      <c r="Q131" s="143">
        <v>77704.33</v>
      </c>
      <c r="R131" s="143">
        <v>87066.08</v>
      </c>
      <c r="S131" s="144">
        <f t="shared" si="30"/>
        <v>-9361.75</v>
      </c>
      <c r="T131" s="145">
        <f t="shared" si="31"/>
        <v>-0.10752465253977209</v>
      </c>
      <c r="U131" s="146"/>
      <c r="V131" s="143">
        <v>328331.91000000003</v>
      </c>
      <c r="W131" s="143">
        <v>269892.38</v>
      </c>
      <c r="X131" s="144">
        <f t="shared" si="32"/>
        <v>58439.530000000028</v>
      </c>
      <c r="Y131" s="145">
        <f t="shared" si="33"/>
        <v>0.21652901056339577</v>
      </c>
      <c r="Z131" s="148"/>
      <c r="AA131" s="149">
        <v>26582.75</v>
      </c>
      <c r="AB131" s="150"/>
      <c r="AC131" s="117">
        <v>21767.7</v>
      </c>
      <c r="AD131" s="117">
        <v>38715.629999999997</v>
      </c>
      <c r="AE131" s="117">
        <v>42031.05</v>
      </c>
      <c r="AF131" s="117">
        <v>18349.39</v>
      </c>
      <c r="AG131" s="117">
        <v>14614.69</v>
      </c>
      <c r="AH131" s="117">
        <v>30550.260000000002</v>
      </c>
      <c r="AI131" s="117">
        <v>35046.200000000004</v>
      </c>
      <c r="AJ131" s="117">
        <v>48657.919999999998</v>
      </c>
      <c r="AK131" s="117">
        <v>23524.25</v>
      </c>
      <c r="AL131" s="117">
        <v>8932.130000000001</v>
      </c>
      <c r="AM131" s="117">
        <v>28921.690000000002</v>
      </c>
      <c r="AN131" s="117">
        <v>24166.080000000002</v>
      </c>
      <c r="AO131" s="150"/>
      <c r="AP131" s="117">
        <v>29700.959999999999</v>
      </c>
      <c r="AQ131" s="117">
        <v>23837.29</v>
      </c>
      <c r="AR131" s="117">
        <v>-29471.850000000002</v>
      </c>
      <c r="AS131" s="117">
        <v>0</v>
      </c>
      <c r="AT131" s="117">
        <v>0</v>
      </c>
      <c r="AU131" s="117">
        <v>0</v>
      </c>
      <c r="AV131" s="117">
        <v>0</v>
      </c>
      <c r="AW131" s="117">
        <v>0</v>
      </c>
      <c r="AX131" s="117">
        <v>0</v>
      </c>
      <c r="AY131" s="117">
        <v>0</v>
      </c>
      <c r="AZ131" s="117">
        <v>0</v>
      </c>
      <c r="BA131" s="117">
        <v>0</v>
      </c>
    </row>
    <row r="132" spans="1:53" s="138" customFormat="1" outlineLevel="2" x14ac:dyDescent="0.25">
      <c r="A132" s="138" t="s">
        <v>506</v>
      </c>
      <c r="B132" s="139" t="s">
        <v>507</v>
      </c>
      <c r="C132" s="140" t="s">
        <v>508</v>
      </c>
      <c r="D132" s="141"/>
      <c r="E132" s="142"/>
      <c r="F132" s="143">
        <v>166049.58000000002</v>
      </c>
      <c r="G132" s="143">
        <v>431770.44</v>
      </c>
      <c r="H132" s="144">
        <f t="shared" si="26"/>
        <v>-265720.86</v>
      </c>
      <c r="I132" s="145">
        <f t="shared" si="27"/>
        <v>-0.61542161153968755</v>
      </c>
      <c r="J132" s="146"/>
      <c r="K132" s="143">
        <v>382901.97000000003</v>
      </c>
      <c r="L132" s="143">
        <v>743499.09</v>
      </c>
      <c r="M132" s="144">
        <f t="shared" si="28"/>
        <v>-360597.11999999994</v>
      </c>
      <c r="N132" s="145">
        <f t="shared" si="29"/>
        <v>-0.48500008251523208</v>
      </c>
      <c r="O132" s="147"/>
      <c r="P132" s="146"/>
      <c r="Q132" s="143">
        <v>668406.03</v>
      </c>
      <c r="R132" s="143">
        <v>1013772.61</v>
      </c>
      <c r="S132" s="144">
        <f t="shared" si="30"/>
        <v>-345366.57999999996</v>
      </c>
      <c r="T132" s="145">
        <f t="shared" si="31"/>
        <v>-0.34067460157559393</v>
      </c>
      <c r="U132" s="146"/>
      <c r="V132" s="143">
        <v>3134257.56</v>
      </c>
      <c r="W132" s="143">
        <v>2618542.17</v>
      </c>
      <c r="X132" s="144">
        <f t="shared" si="32"/>
        <v>515715.39000000013</v>
      </c>
      <c r="Y132" s="145">
        <f t="shared" si="33"/>
        <v>0.19694752137598767</v>
      </c>
      <c r="Z132" s="148"/>
      <c r="AA132" s="149">
        <v>270273.52</v>
      </c>
      <c r="AB132" s="150"/>
      <c r="AC132" s="117">
        <v>311728.65000000002</v>
      </c>
      <c r="AD132" s="117">
        <v>431770.44</v>
      </c>
      <c r="AE132" s="117">
        <v>316072.22000000003</v>
      </c>
      <c r="AF132" s="117">
        <v>244056.14</v>
      </c>
      <c r="AG132" s="117">
        <v>160128.11000000002</v>
      </c>
      <c r="AH132" s="117">
        <v>239735.28</v>
      </c>
      <c r="AI132" s="117">
        <v>412467.86</v>
      </c>
      <c r="AJ132" s="117">
        <v>389406.59</v>
      </c>
      <c r="AK132" s="117">
        <v>207188.45</v>
      </c>
      <c r="AL132" s="117">
        <v>125491.99</v>
      </c>
      <c r="AM132" s="117">
        <v>371304.89</v>
      </c>
      <c r="AN132" s="117">
        <v>285504.06</v>
      </c>
      <c r="AO132" s="150"/>
      <c r="AP132" s="117">
        <v>216852.39</v>
      </c>
      <c r="AQ132" s="117">
        <v>166049.58000000002</v>
      </c>
      <c r="AR132" s="117">
        <v>-14.42</v>
      </c>
      <c r="AS132" s="117">
        <v>0</v>
      </c>
      <c r="AT132" s="117">
        <v>0</v>
      </c>
      <c r="AU132" s="117">
        <v>0</v>
      </c>
      <c r="AV132" s="117">
        <v>0</v>
      </c>
      <c r="AW132" s="117">
        <v>0</v>
      </c>
      <c r="AX132" s="117">
        <v>0</v>
      </c>
      <c r="AY132" s="117">
        <v>0</v>
      </c>
      <c r="AZ132" s="117">
        <v>0</v>
      </c>
      <c r="BA132" s="117">
        <v>0</v>
      </c>
    </row>
    <row r="133" spans="1:53" s="138" customFormat="1" outlineLevel="2" x14ac:dyDescent="0.25">
      <c r="A133" s="138" t="s">
        <v>509</v>
      </c>
      <c r="B133" s="139" t="s">
        <v>510</v>
      </c>
      <c r="C133" s="140" t="s">
        <v>511</v>
      </c>
      <c r="D133" s="141"/>
      <c r="E133" s="142"/>
      <c r="F133" s="143">
        <v>19838.900000000001</v>
      </c>
      <c r="G133" s="143">
        <v>-4478.87</v>
      </c>
      <c r="H133" s="144">
        <f t="shared" si="26"/>
        <v>24317.77</v>
      </c>
      <c r="I133" s="145">
        <f t="shared" si="27"/>
        <v>5.429443140792209</v>
      </c>
      <c r="J133" s="146"/>
      <c r="K133" s="143">
        <v>19919.990000000002</v>
      </c>
      <c r="L133" s="143">
        <v>6445.6500000000005</v>
      </c>
      <c r="M133" s="144">
        <f t="shared" si="28"/>
        <v>13474.34</v>
      </c>
      <c r="N133" s="145">
        <f t="shared" si="29"/>
        <v>2.0904548028515353</v>
      </c>
      <c r="O133" s="147"/>
      <c r="P133" s="146"/>
      <c r="Q133" s="143">
        <v>20111.280000000002</v>
      </c>
      <c r="R133" s="143">
        <v>16965.72</v>
      </c>
      <c r="S133" s="144">
        <f t="shared" si="30"/>
        <v>3145.5600000000013</v>
      </c>
      <c r="T133" s="145">
        <f t="shared" si="31"/>
        <v>0.18540680855277589</v>
      </c>
      <c r="U133" s="146"/>
      <c r="V133" s="143">
        <v>132962.20000000001</v>
      </c>
      <c r="W133" s="143">
        <v>102533.17</v>
      </c>
      <c r="X133" s="144">
        <f t="shared" si="32"/>
        <v>30429.030000000013</v>
      </c>
      <c r="Y133" s="145">
        <f t="shared" si="33"/>
        <v>0.29677254687434335</v>
      </c>
      <c r="Z133" s="148"/>
      <c r="AA133" s="149">
        <v>10520.07</v>
      </c>
      <c r="AB133" s="150"/>
      <c r="AC133" s="117">
        <v>10924.52</v>
      </c>
      <c r="AD133" s="117">
        <v>-4478.87</v>
      </c>
      <c r="AE133" s="117">
        <v>0</v>
      </c>
      <c r="AF133" s="117">
        <v>0</v>
      </c>
      <c r="AG133" s="117">
        <v>0</v>
      </c>
      <c r="AH133" s="117">
        <v>0</v>
      </c>
      <c r="AI133" s="117">
        <v>0</v>
      </c>
      <c r="AJ133" s="117">
        <v>0</v>
      </c>
      <c r="AK133" s="117">
        <v>0</v>
      </c>
      <c r="AL133" s="117">
        <v>0</v>
      </c>
      <c r="AM133" s="117">
        <v>112850.92</v>
      </c>
      <c r="AN133" s="117">
        <v>191.29</v>
      </c>
      <c r="AO133" s="150"/>
      <c r="AP133" s="117">
        <v>81.09</v>
      </c>
      <c r="AQ133" s="117">
        <v>19838.900000000001</v>
      </c>
      <c r="AR133" s="117">
        <v>-4069.5</v>
      </c>
      <c r="AS133" s="117">
        <v>0</v>
      </c>
      <c r="AT133" s="117">
        <v>0</v>
      </c>
      <c r="AU133" s="117">
        <v>0</v>
      </c>
      <c r="AV133" s="117">
        <v>0</v>
      </c>
      <c r="AW133" s="117">
        <v>0</v>
      </c>
      <c r="AX133" s="117">
        <v>0</v>
      </c>
      <c r="AY133" s="117">
        <v>0</v>
      </c>
      <c r="AZ133" s="117">
        <v>0</v>
      </c>
      <c r="BA133" s="117">
        <v>0</v>
      </c>
    </row>
    <row r="134" spans="1:53" s="138" customFormat="1" outlineLevel="2" x14ac:dyDescent="0.25">
      <c r="A134" s="138" t="s">
        <v>512</v>
      </c>
      <c r="B134" s="139" t="s">
        <v>513</v>
      </c>
      <c r="C134" s="140" t="s">
        <v>514</v>
      </c>
      <c r="D134" s="141"/>
      <c r="E134" s="142"/>
      <c r="F134" s="143">
        <v>1685.28</v>
      </c>
      <c r="G134" s="143">
        <v>148.80000000000001</v>
      </c>
      <c r="H134" s="144">
        <f t="shared" si="26"/>
        <v>1536.48</v>
      </c>
      <c r="I134" s="145" t="str">
        <f t="shared" si="27"/>
        <v>N.M.</v>
      </c>
      <c r="J134" s="146"/>
      <c r="K134" s="143">
        <v>2024.04</v>
      </c>
      <c r="L134" s="143">
        <v>1838.73</v>
      </c>
      <c r="M134" s="144">
        <f t="shared" si="28"/>
        <v>185.30999999999995</v>
      </c>
      <c r="N134" s="145">
        <f t="shared" si="29"/>
        <v>0.10078151767796248</v>
      </c>
      <c r="O134" s="147"/>
      <c r="P134" s="146"/>
      <c r="Q134" s="143">
        <v>7183.22</v>
      </c>
      <c r="R134" s="143">
        <v>2039.04</v>
      </c>
      <c r="S134" s="144">
        <f t="shared" si="30"/>
        <v>5144.18</v>
      </c>
      <c r="T134" s="145">
        <f t="shared" si="31"/>
        <v>2.5228440834902703</v>
      </c>
      <c r="U134" s="146"/>
      <c r="V134" s="143">
        <v>20158.79</v>
      </c>
      <c r="W134" s="143">
        <v>13123.03</v>
      </c>
      <c r="X134" s="144">
        <f t="shared" si="32"/>
        <v>7035.76</v>
      </c>
      <c r="Y134" s="145">
        <f t="shared" si="33"/>
        <v>0.53613837657918939</v>
      </c>
      <c r="Z134" s="148"/>
      <c r="AA134" s="149">
        <v>200.31</v>
      </c>
      <c r="AB134" s="150"/>
      <c r="AC134" s="117">
        <v>1689.93</v>
      </c>
      <c r="AD134" s="117">
        <v>148.80000000000001</v>
      </c>
      <c r="AE134" s="117">
        <v>1857.43</v>
      </c>
      <c r="AF134" s="117">
        <v>1683.21</v>
      </c>
      <c r="AG134" s="117">
        <v>395.62</v>
      </c>
      <c r="AH134" s="117">
        <v>1729.2</v>
      </c>
      <c r="AI134" s="117">
        <v>1755.47</v>
      </c>
      <c r="AJ134" s="117">
        <v>3103.81</v>
      </c>
      <c r="AK134" s="117">
        <v>371.7</v>
      </c>
      <c r="AL134" s="117">
        <v>167.39000000000001</v>
      </c>
      <c r="AM134" s="117">
        <v>1911.74</v>
      </c>
      <c r="AN134" s="117">
        <v>5159.18</v>
      </c>
      <c r="AO134" s="150"/>
      <c r="AP134" s="117">
        <v>338.76</v>
      </c>
      <c r="AQ134" s="117">
        <v>1685.28</v>
      </c>
      <c r="AR134" s="117">
        <v>0</v>
      </c>
      <c r="AS134" s="117">
        <v>0</v>
      </c>
      <c r="AT134" s="117">
        <v>0</v>
      </c>
      <c r="AU134" s="117">
        <v>0</v>
      </c>
      <c r="AV134" s="117">
        <v>0</v>
      </c>
      <c r="AW134" s="117">
        <v>0</v>
      </c>
      <c r="AX134" s="117">
        <v>0</v>
      </c>
      <c r="AY134" s="117">
        <v>0</v>
      </c>
      <c r="AZ134" s="117">
        <v>0</v>
      </c>
      <c r="BA134" s="117">
        <v>0</v>
      </c>
    </row>
    <row r="135" spans="1:53" s="138" customFormat="1" outlineLevel="2" x14ac:dyDescent="0.25">
      <c r="A135" s="138" t="s">
        <v>515</v>
      </c>
      <c r="B135" s="139" t="s">
        <v>516</v>
      </c>
      <c r="C135" s="140" t="s">
        <v>517</v>
      </c>
      <c r="D135" s="141"/>
      <c r="E135" s="142"/>
      <c r="F135" s="143">
        <v>0</v>
      </c>
      <c r="G135" s="143">
        <v>0</v>
      </c>
      <c r="H135" s="144">
        <f t="shared" si="26"/>
        <v>0</v>
      </c>
      <c r="I135" s="145">
        <f t="shared" si="27"/>
        <v>0</v>
      </c>
      <c r="J135" s="146"/>
      <c r="K135" s="143">
        <v>0</v>
      </c>
      <c r="L135" s="143">
        <v>0</v>
      </c>
      <c r="M135" s="144">
        <f t="shared" si="28"/>
        <v>0</v>
      </c>
      <c r="N135" s="145">
        <f t="shared" si="29"/>
        <v>0</v>
      </c>
      <c r="O135" s="147"/>
      <c r="P135" s="146"/>
      <c r="Q135" s="143">
        <v>0</v>
      </c>
      <c r="R135" s="143">
        <v>0</v>
      </c>
      <c r="S135" s="144">
        <f t="shared" si="30"/>
        <v>0</v>
      </c>
      <c r="T135" s="145">
        <f t="shared" si="31"/>
        <v>0</v>
      </c>
      <c r="U135" s="146"/>
      <c r="V135" s="143">
        <v>0</v>
      </c>
      <c r="W135" s="143">
        <v>-150.05000000000001</v>
      </c>
      <c r="X135" s="144">
        <f t="shared" si="32"/>
        <v>150.05000000000001</v>
      </c>
      <c r="Y135" s="145" t="str">
        <f t="shared" si="33"/>
        <v>N.M.</v>
      </c>
      <c r="Z135" s="148"/>
      <c r="AA135" s="149">
        <v>0</v>
      </c>
      <c r="AB135" s="150"/>
      <c r="AC135" s="117">
        <v>0</v>
      </c>
      <c r="AD135" s="117">
        <v>0</v>
      </c>
      <c r="AE135" s="117">
        <v>0</v>
      </c>
      <c r="AF135" s="117">
        <v>0</v>
      </c>
      <c r="AG135" s="117">
        <v>0</v>
      </c>
      <c r="AH135" s="117">
        <v>0</v>
      </c>
      <c r="AI135" s="117">
        <v>0</v>
      </c>
      <c r="AJ135" s="117">
        <v>0</v>
      </c>
      <c r="AK135" s="117">
        <v>0</v>
      </c>
      <c r="AL135" s="117">
        <v>0</v>
      </c>
      <c r="AM135" s="117">
        <v>0</v>
      </c>
      <c r="AN135" s="117">
        <v>0</v>
      </c>
      <c r="AO135" s="150"/>
      <c r="AP135" s="117">
        <v>0</v>
      </c>
      <c r="AQ135" s="117">
        <v>0</v>
      </c>
      <c r="AR135" s="117">
        <v>0</v>
      </c>
      <c r="AS135" s="117">
        <v>0</v>
      </c>
      <c r="AT135" s="117">
        <v>0</v>
      </c>
      <c r="AU135" s="117">
        <v>0</v>
      </c>
      <c r="AV135" s="117">
        <v>0</v>
      </c>
      <c r="AW135" s="117">
        <v>0</v>
      </c>
      <c r="AX135" s="117">
        <v>0</v>
      </c>
      <c r="AY135" s="117">
        <v>0</v>
      </c>
      <c r="AZ135" s="117">
        <v>0</v>
      </c>
      <c r="BA135" s="117">
        <v>0</v>
      </c>
    </row>
    <row r="136" spans="1:53" s="138" customFormat="1" outlineLevel="2" x14ac:dyDescent="0.25">
      <c r="A136" s="138" t="s">
        <v>518</v>
      </c>
      <c r="B136" s="139" t="s">
        <v>119</v>
      </c>
      <c r="C136" s="140" t="s">
        <v>120</v>
      </c>
      <c r="D136" s="141"/>
      <c r="E136" s="142"/>
      <c r="F136" s="143">
        <v>243604.25</v>
      </c>
      <c r="G136" s="143">
        <v>-163308.56</v>
      </c>
      <c r="H136" s="144">
        <f t="shared" si="26"/>
        <v>406912.81</v>
      </c>
      <c r="I136" s="145">
        <f t="shared" si="27"/>
        <v>2.4916808402449937</v>
      </c>
      <c r="J136" s="146"/>
      <c r="K136" s="143">
        <v>815577.42</v>
      </c>
      <c r="L136" s="143">
        <v>-349492.76</v>
      </c>
      <c r="M136" s="144">
        <f t="shared" si="28"/>
        <v>1165070.1800000002</v>
      </c>
      <c r="N136" s="145">
        <f t="shared" si="29"/>
        <v>3.3336031910932866</v>
      </c>
      <c r="O136" s="147"/>
      <c r="P136" s="146"/>
      <c r="Q136" s="143">
        <v>380746.28</v>
      </c>
      <c r="R136" s="143">
        <v>-635364.76</v>
      </c>
      <c r="S136" s="144">
        <f t="shared" si="30"/>
        <v>1016111.04</v>
      </c>
      <c r="T136" s="145">
        <f t="shared" si="31"/>
        <v>1.5992562130767216</v>
      </c>
      <c r="U136" s="146"/>
      <c r="V136" s="143">
        <v>623781.77</v>
      </c>
      <c r="W136" s="143">
        <v>-616952.76</v>
      </c>
      <c r="X136" s="144">
        <f t="shared" si="32"/>
        <v>1240734.53</v>
      </c>
      <c r="Y136" s="145">
        <f t="shared" si="33"/>
        <v>2.011068935002414</v>
      </c>
      <c r="Z136" s="148"/>
      <c r="AA136" s="149">
        <v>-285872</v>
      </c>
      <c r="AB136" s="150"/>
      <c r="AC136" s="117">
        <v>-186184.2</v>
      </c>
      <c r="AD136" s="117">
        <v>-163308.56</v>
      </c>
      <c r="AE136" s="117">
        <v>-204738.82</v>
      </c>
      <c r="AF136" s="117">
        <v>420014.23</v>
      </c>
      <c r="AG136" s="117">
        <v>-18831.54</v>
      </c>
      <c r="AH136" s="117">
        <v>-259771.75</v>
      </c>
      <c r="AI136" s="117">
        <v>272490.48</v>
      </c>
      <c r="AJ136" s="117">
        <v>-55253.96</v>
      </c>
      <c r="AK136" s="117">
        <v>71145.31</v>
      </c>
      <c r="AL136" s="117">
        <v>-28265.75</v>
      </c>
      <c r="AM136" s="117">
        <v>46247.29</v>
      </c>
      <c r="AN136" s="117">
        <v>-434831.14</v>
      </c>
      <c r="AO136" s="150"/>
      <c r="AP136" s="117">
        <v>571973.17000000004</v>
      </c>
      <c r="AQ136" s="117">
        <v>243604.25</v>
      </c>
      <c r="AR136" s="117">
        <v>18468.580000000002</v>
      </c>
      <c r="AS136" s="117">
        <v>-25297.59</v>
      </c>
      <c r="AT136" s="117">
        <v>0</v>
      </c>
      <c r="AU136" s="117">
        <v>0</v>
      </c>
      <c r="AV136" s="117">
        <v>0</v>
      </c>
      <c r="AW136" s="117">
        <v>0</v>
      </c>
      <c r="AX136" s="117">
        <v>0</v>
      </c>
      <c r="AY136" s="117">
        <v>0</v>
      </c>
      <c r="AZ136" s="117">
        <v>0</v>
      </c>
      <c r="BA136" s="117">
        <v>0</v>
      </c>
    </row>
    <row r="137" spans="1:53" s="138" customFormat="1" outlineLevel="2" x14ac:dyDescent="0.25">
      <c r="A137" s="138" t="s">
        <v>519</v>
      </c>
      <c r="B137" s="139" t="s">
        <v>520</v>
      </c>
      <c r="C137" s="140" t="s">
        <v>521</v>
      </c>
      <c r="D137" s="141"/>
      <c r="E137" s="142"/>
      <c r="F137" s="143">
        <v>0</v>
      </c>
      <c r="G137" s="143">
        <v>0</v>
      </c>
      <c r="H137" s="144">
        <f t="shared" si="26"/>
        <v>0</v>
      </c>
      <c r="I137" s="145">
        <f t="shared" si="27"/>
        <v>0</v>
      </c>
      <c r="J137" s="146"/>
      <c r="K137" s="143">
        <v>0</v>
      </c>
      <c r="L137" s="143">
        <v>0</v>
      </c>
      <c r="M137" s="144">
        <f t="shared" si="28"/>
        <v>0</v>
      </c>
      <c r="N137" s="145">
        <f t="shared" si="29"/>
        <v>0</v>
      </c>
      <c r="O137" s="147"/>
      <c r="P137" s="146"/>
      <c r="Q137" s="143">
        <v>0</v>
      </c>
      <c r="R137" s="143">
        <v>0</v>
      </c>
      <c r="S137" s="144">
        <f t="shared" si="30"/>
        <v>0</v>
      </c>
      <c r="T137" s="145">
        <f t="shared" si="31"/>
        <v>0</v>
      </c>
      <c r="U137" s="146"/>
      <c r="V137" s="143">
        <v>0</v>
      </c>
      <c r="W137" s="143">
        <v>-476.63</v>
      </c>
      <c r="X137" s="144">
        <f t="shared" si="32"/>
        <v>476.63</v>
      </c>
      <c r="Y137" s="145" t="str">
        <f t="shared" si="33"/>
        <v>N.M.</v>
      </c>
      <c r="Z137" s="148"/>
      <c r="AA137" s="149">
        <v>0</v>
      </c>
      <c r="AB137" s="150"/>
      <c r="AC137" s="117">
        <v>0</v>
      </c>
      <c r="AD137" s="117">
        <v>0</v>
      </c>
      <c r="AE137" s="117">
        <v>0</v>
      </c>
      <c r="AF137" s="117">
        <v>0</v>
      </c>
      <c r="AG137" s="117">
        <v>0</v>
      </c>
      <c r="AH137" s="117">
        <v>0</v>
      </c>
      <c r="AI137" s="117">
        <v>0</v>
      </c>
      <c r="AJ137" s="117">
        <v>0</v>
      </c>
      <c r="AK137" s="117">
        <v>0</v>
      </c>
      <c r="AL137" s="117">
        <v>0</v>
      </c>
      <c r="AM137" s="117">
        <v>0</v>
      </c>
      <c r="AN137" s="117">
        <v>0</v>
      </c>
      <c r="AO137" s="150"/>
      <c r="AP137" s="117">
        <v>0</v>
      </c>
      <c r="AQ137" s="117">
        <v>0</v>
      </c>
      <c r="AR137" s="117">
        <v>0</v>
      </c>
      <c r="AS137" s="117">
        <v>0</v>
      </c>
      <c r="AT137" s="117">
        <v>0</v>
      </c>
      <c r="AU137" s="117">
        <v>0</v>
      </c>
      <c r="AV137" s="117">
        <v>0</v>
      </c>
      <c r="AW137" s="117">
        <v>0</v>
      </c>
      <c r="AX137" s="117">
        <v>0</v>
      </c>
      <c r="AY137" s="117">
        <v>0</v>
      </c>
      <c r="AZ137" s="117">
        <v>0</v>
      </c>
      <c r="BA137" s="117">
        <v>0</v>
      </c>
    </row>
    <row r="138" spans="1:53" s="138" customFormat="1" outlineLevel="2" x14ac:dyDescent="0.25">
      <c r="A138" s="138" t="s">
        <v>522</v>
      </c>
      <c r="B138" s="139" t="s">
        <v>523</v>
      </c>
      <c r="C138" s="140" t="s">
        <v>524</v>
      </c>
      <c r="D138" s="141"/>
      <c r="E138" s="142"/>
      <c r="F138" s="143">
        <v>898.18000000000006</v>
      </c>
      <c r="G138" s="143">
        <v>23992.83</v>
      </c>
      <c r="H138" s="144">
        <f t="shared" si="26"/>
        <v>-23094.65</v>
      </c>
      <c r="I138" s="145">
        <f t="shared" si="27"/>
        <v>-0.96256464952237808</v>
      </c>
      <c r="J138" s="146"/>
      <c r="K138" s="143">
        <v>1879.1000000000001</v>
      </c>
      <c r="L138" s="143">
        <v>69688.63</v>
      </c>
      <c r="M138" s="144">
        <f t="shared" si="28"/>
        <v>-67809.53</v>
      </c>
      <c r="N138" s="145">
        <f t="shared" si="29"/>
        <v>-0.97303577355445203</v>
      </c>
      <c r="O138" s="147"/>
      <c r="P138" s="146"/>
      <c r="Q138" s="143">
        <v>3174.5</v>
      </c>
      <c r="R138" s="143">
        <v>65878.960000000006</v>
      </c>
      <c r="S138" s="144">
        <f t="shared" si="30"/>
        <v>-62704.460000000006</v>
      </c>
      <c r="T138" s="145">
        <f t="shared" si="31"/>
        <v>-0.95181314337688394</v>
      </c>
      <c r="U138" s="146"/>
      <c r="V138" s="143">
        <v>112272.47</v>
      </c>
      <c r="W138" s="143">
        <v>242701.17</v>
      </c>
      <c r="X138" s="144">
        <f t="shared" si="32"/>
        <v>-130428.70000000001</v>
      </c>
      <c r="Y138" s="145">
        <f t="shared" si="33"/>
        <v>-0.53740449623708042</v>
      </c>
      <c r="Z138" s="148"/>
      <c r="AA138" s="149">
        <v>-3809.67</v>
      </c>
      <c r="AB138" s="150"/>
      <c r="AC138" s="117">
        <v>45695.8</v>
      </c>
      <c r="AD138" s="117">
        <v>23992.83</v>
      </c>
      <c r="AE138" s="117">
        <v>24791.06</v>
      </c>
      <c r="AF138" s="117">
        <v>35466.910000000003</v>
      </c>
      <c r="AG138" s="117">
        <v>23622.2</v>
      </c>
      <c r="AH138" s="117">
        <v>13528.470000000001</v>
      </c>
      <c r="AI138" s="117">
        <v>72.44</v>
      </c>
      <c r="AJ138" s="117">
        <v>1081.19</v>
      </c>
      <c r="AK138" s="117">
        <v>5441.53</v>
      </c>
      <c r="AL138" s="117">
        <v>51.39</v>
      </c>
      <c r="AM138" s="117">
        <v>5042.78</v>
      </c>
      <c r="AN138" s="117">
        <v>1295.4000000000001</v>
      </c>
      <c r="AO138" s="150"/>
      <c r="AP138" s="117">
        <v>980.92000000000007</v>
      </c>
      <c r="AQ138" s="117">
        <v>898.18000000000006</v>
      </c>
      <c r="AR138" s="117">
        <v>-356.84000000000003</v>
      </c>
      <c r="AS138" s="117">
        <v>0</v>
      </c>
      <c r="AT138" s="117">
        <v>0</v>
      </c>
      <c r="AU138" s="117">
        <v>0</v>
      </c>
      <c r="AV138" s="117">
        <v>0</v>
      </c>
      <c r="AW138" s="117">
        <v>0</v>
      </c>
      <c r="AX138" s="117">
        <v>0</v>
      </c>
      <c r="AY138" s="117">
        <v>0</v>
      </c>
      <c r="AZ138" s="117">
        <v>0</v>
      </c>
      <c r="BA138" s="117">
        <v>0</v>
      </c>
    </row>
    <row r="139" spans="1:53" s="138" customFormat="1" outlineLevel="2" x14ac:dyDescent="0.25">
      <c r="A139" s="138" t="s">
        <v>525</v>
      </c>
      <c r="B139" s="139" t="s">
        <v>526</v>
      </c>
      <c r="C139" s="140" t="s">
        <v>527</v>
      </c>
      <c r="D139" s="141"/>
      <c r="E139" s="142"/>
      <c r="F139" s="143">
        <v>671863.66</v>
      </c>
      <c r="G139" s="143">
        <v>643124.1</v>
      </c>
      <c r="H139" s="144">
        <f t="shared" si="26"/>
        <v>28739.560000000056</v>
      </c>
      <c r="I139" s="145">
        <f t="shared" si="27"/>
        <v>4.4687425024190597E-2</v>
      </c>
      <c r="J139" s="146"/>
      <c r="K139" s="143">
        <v>860758.92</v>
      </c>
      <c r="L139" s="143">
        <v>1238997.83</v>
      </c>
      <c r="M139" s="144">
        <f t="shared" si="28"/>
        <v>-378238.91000000003</v>
      </c>
      <c r="N139" s="145">
        <f t="shared" si="29"/>
        <v>-0.30527810528933697</v>
      </c>
      <c r="O139" s="147"/>
      <c r="P139" s="146"/>
      <c r="Q139" s="143">
        <v>2749566.53</v>
      </c>
      <c r="R139" s="143">
        <v>2641924.16</v>
      </c>
      <c r="S139" s="144">
        <f t="shared" si="30"/>
        <v>107642.36999999965</v>
      </c>
      <c r="T139" s="145">
        <f t="shared" si="31"/>
        <v>4.0743928849191355E-2</v>
      </c>
      <c r="U139" s="146"/>
      <c r="V139" s="143">
        <v>8226179.6619999995</v>
      </c>
      <c r="W139" s="143">
        <v>7812687.6400000006</v>
      </c>
      <c r="X139" s="144">
        <f t="shared" si="32"/>
        <v>413492.02199999895</v>
      </c>
      <c r="Y139" s="145">
        <f t="shared" si="33"/>
        <v>5.2925707650587565E-2</v>
      </c>
      <c r="Z139" s="148"/>
      <c r="AA139" s="149">
        <v>1402926.33</v>
      </c>
      <c r="AB139" s="150"/>
      <c r="AC139" s="117">
        <v>595873.73</v>
      </c>
      <c r="AD139" s="117">
        <v>643124.1</v>
      </c>
      <c r="AE139" s="117">
        <v>707096.26</v>
      </c>
      <c r="AF139" s="117">
        <v>712271.98</v>
      </c>
      <c r="AG139" s="117">
        <v>632625.902</v>
      </c>
      <c r="AH139" s="117">
        <v>568146.48</v>
      </c>
      <c r="AI139" s="117">
        <v>699512.70000000007</v>
      </c>
      <c r="AJ139" s="117">
        <v>452447.27</v>
      </c>
      <c r="AK139" s="117">
        <v>603642.80000000005</v>
      </c>
      <c r="AL139" s="117">
        <v>614645.68000000005</v>
      </c>
      <c r="AM139" s="117">
        <v>486224.06</v>
      </c>
      <c r="AN139" s="117">
        <v>1888807.6099999999</v>
      </c>
      <c r="AO139" s="150"/>
      <c r="AP139" s="117">
        <v>188895.26</v>
      </c>
      <c r="AQ139" s="117">
        <v>671863.66</v>
      </c>
      <c r="AR139" s="117">
        <v>-44810</v>
      </c>
      <c r="AS139" s="117">
        <v>0</v>
      </c>
      <c r="AT139" s="117">
        <v>0</v>
      </c>
      <c r="AU139" s="117">
        <v>0</v>
      </c>
      <c r="AV139" s="117">
        <v>0</v>
      </c>
      <c r="AW139" s="117">
        <v>0</v>
      </c>
      <c r="AX139" s="117">
        <v>0</v>
      </c>
      <c r="AY139" s="117">
        <v>0</v>
      </c>
      <c r="AZ139" s="117">
        <v>0</v>
      </c>
      <c r="BA139" s="117">
        <v>0</v>
      </c>
    </row>
    <row r="140" spans="1:53" s="138" customFormat="1" outlineLevel="2" x14ac:dyDescent="0.25">
      <c r="A140" s="138" t="s">
        <v>528</v>
      </c>
      <c r="B140" s="139" t="s">
        <v>529</v>
      </c>
      <c r="C140" s="140" t="s">
        <v>530</v>
      </c>
      <c r="D140" s="141"/>
      <c r="E140" s="142"/>
      <c r="F140" s="143">
        <v>2335.96</v>
      </c>
      <c r="G140" s="143">
        <v>4760.6000000000004</v>
      </c>
      <c r="H140" s="144">
        <f t="shared" si="26"/>
        <v>-2424.6400000000003</v>
      </c>
      <c r="I140" s="145">
        <f t="shared" si="27"/>
        <v>-0.50931395202285434</v>
      </c>
      <c r="J140" s="146"/>
      <c r="K140" s="143">
        <v>7467.92</v>
      </c>
      <c r="L140" s="143">
        <v>6287.5050000000001</v>
      </c>
      <c r="M140" s="144">
        <f t="shared" si="28"/>
        <v>1180.415</v>
      </c>
      <c r="N140" s="145">
        <f t="shared" si="29"/>
        <v>0.18773981094249625</v>
      </c>
      <c r="O140" s="147"/>
      <c r="P140" s="146"/>
      <c r="Q140" s="143">
        <v>12073.779999999999</v>
      </c>
      <c r="R140" s="143">
        <v>14229.435000000001</v>
      </c>
      <c r="S140" s="144">
        <f t="shared" si="30"/>
        <v>-2155.6550000000025</v>
      </c>
      <c r="T140" s="145">
        <f t="shared" si="31"/>
        <v>-0.15149266292020747</v>
      </c>
      <c r="U140" s="146"/>
      <c r="V140" s="143">
        <v>51977.68</v>
      </c>
      <c r="W140" s="143">
        <v>85508.475000000006</v>
      </c>
      <c r="X140" s="144">
        <f t="shared" si="32"/>
        <v>-33530.795000000006</v>
      </c>
      <c r="Y140" s="145">
        <f t="shared" si="33"/>
        <v>-0.39213417149586638</v>
      </c>
      <c r="Z140" s="148"/>
      <c r="AA140" s="149">
        <v>7941.93</v>
      </c>
      <c r="AB140" s="150"/>
      <c r="AC140" s="117">
        <v>1526.905</v>
      </c>
      <c r="AD140" s="117">
        <v>4760.6000000000004</v>
      </c>
      <c r="AE140" s="117">
        <v>3856.41</v>
      </c>
      <c r="AF140" s="117">
        <v>4313.1499999999996</v>
      </c>
      <c r="AG140" s="117">
        <v>3719.29</v>
      </c>
      <c r="AH140" s="117">
        <v>3922.48</v>
      </c>
      <c r="AI140" s="117">
        <v>4253.37</v>
      </c>
      <c r="AJ140" s="117">
        <v>4899.3</v>
      </c>
      <c r="AK140" s="117">
        <v>5059.1000000000004</v>
      </c>
      <c r="AL140" s="117">
        <v>5124.1400000000003</v>
      </c>
      <c r="AM140" s="117">
        <v>4756.66</v>
      </c>
      <c r="AN140" s="117">
        <v>4605.8599999999997</v>
      </c>
      <c r="AO140" s="150"/>
      <c r="AP140" s="117">
        <v>5131.96</v>
      </c>
      <c r="AQ140" s="117">
        <v>2335.96</v>
      </c>
      <c r="AR140" s="117">
        <v>0</v>
      </c>
      <c r="AS140" s="117">
        <v>0</v>
      </c>
      <c r="AT140" s="117">
        <v>0</v>
      </c>
      <c r="AU140" s="117">
        <v>0</v>
      </c>
      <c r="AV140" s="117">
        <v>0</v>
      </c>
      <c r="AW140" s="117">
        <v>0</v>
      </c>
      <c r="AX140" s="117">
        <v>0</v>
      </c>
      <c r="AY140" s="117">
        <v>0</v>
      </c>
      <c r="AZ140" s="117">
        <v>0</v>
      </c>
      <c r="BA140" s="117">
        <v>0</v>
      </c>
    </row>
    <row r="141" spans="1:53" s="138" customFormat="1" outlineLevel="2" x14ac:dyDescent="0.25">
      <c r="A141" s="138" t="s">
        <v>531</v>
      </c>
      <c r="B141" s="139" t="s">
        <v>532</v>
      </c>
      <c r="C141" s="140" t="s">
        <v>533</v>
      </c>
      <c r="D141" s="141"/>
      <c r="E141" s="142"/>
      <c r="F141" s="143">
        <v>-21.63</v>
      </c>
      <c r="G141" s="143">
        <v>-149.13</v>
      </c>
      <c r="H141" s="144">
        <f t="shared" si="26"/>
        <v>127.5</v>
      </c>
      <c r="I141" s="145">
        <f t="shared" si="27"/>
        <v>0.85495876081271371</v>
      </c>
      <c r="J141" s="146"/>
      <c r="K141" s="143">
        <v>-148.05000000000001</v>
      </c>
      <c r="L141" s="143">
        <v>358.90000000000003</v>
      </c>
      <c r="M141" s="144">
        <f t="shared" si="28"/>
        <v>-506.95000000000005</v>
      </c>
      <c r="N141" s="145">
        <f t="shared" si="29"/>
        <v>-1.4125104485929227</v>
      </c>
      <c r="O141" s="147"/>
      <c r="P141" s="146"/>
      <c r="Q141" s="143">
        <v>-1755.67</v>
      </c>
      <c r="R141" s="143">
        <v>383.19000000000005</v>
      </c>
      <c r="S141" s="144">
        <f t="shared" si="30"/>
        <v>-2138.86</v>
      </c>
      <c r="T141" s="145">
        <f t="shared" si="31"/>
        <v>-5.5817218612176722</v>
      </c>
      <c r="U141" s="146"/>
      <c r="V141" s="143">
        <v>-182.23000000000002</v>
      </c>
      <c r="W141" s="143">
        <v>444.28000000000003</v>
      </c>
      <c r="X141" s="144">
        <f t="shared" si="32"/>
        <v>-626.51</v>
      </c>
      <c r="Y141" s="145">
        <f t="shared" si="33"/>
        <v>-1.410169262627172</v>
      </c>
      <c r="Z141" s="148"/>
      <c r="AA141" s="149">
        <v>24.29</v>
      </c>
      <c r="AB141" s="150"/>
      <c r="AC141" s="117">
        <v>508.03000000000003</v>
      </c>
      <c r="AD141" s="117">
        <v>-149.13</v>
      </c>
      <c r="AE141" s="117">
        <v>550.12</v>
      </c>
      <c r="AF141" s="117">
        <v>-736.01</v>
      </c>
      <c r="AG141" s="117">
        <v>-15.15</v>
      </c>
      <c r="AH141" s="117">
        <v>-13.9</v>
      </c>
      <c r="AI141" s="117">
        <v>881.9</v>
      </c>
      <c r="AJ141" s="117">
        <v>-595.89</v>
      </c>
      <c r="AK141" s="117">
        <v>-447.8</v>
      </c>
      <c r="AL141" s="117">
        <v>4.37</v>
      </c>
      <c r="AM141" s="117">
        <v>1945.8</v>
      </c>
      <c r="AN141" s="117">
        <v>-1607.6200000000001</v>
      </c>
      <c r="AO141" s="150"/>
      <c r="AP141" s="117">
        <v>-126.42</v>
      </c>
      <c r="AQ141" s="117">
        <v>-21.63</v>
      </c>
      <c r="AR141" s="117">
        <v>0</v>
      </c>
      <c r="AS141" s="117">
        <v>0</v>
      </c>
      <c r="AT141" s="117">
        <v>0</v>
      </c>
      <c r="AU141" s="117">
        <v>0</v>
      </c>
      <c r="AV141" s="117">
        <v>0</v>
      </c>
      <c r="AW141" s="117">
        <v>0</v>
      </c>
      <c r="AX141" s="117">
        <v>0</v>
      </c>
      <c r="AY141" s="117">
        <v>0</v>
      </c>
      <c r="AZ141" s="117">
        <v>0</v>
      </c>
      <c r="BA141" s="117">
        <v>0</v>
      </c>
    </row>
    <row r="142" spans="1:53" s="138" customFormat="1" outlineLevel="2" x14ac:dyDescent="0.25">
      <c r="A142" s="138" t="s">
        <v>534</v>
      </c>
      <c r="B142" s="139" t="s">
        <v>535</v>
      </c>
      <c r="C142" s="140" t="s">
        <v>536</v>
      </c>
      <c r="D142" s="141"/>
      <c r="E142" s="142"/>
      <c r="F142" s="143">
        <v>0</v>
      </c>
      <c r="G142" s="143">
        <v>0</v>
      </c>
      <c r="H142" s="144">
        <f t="shared" si="26"/>
        <v>0</v>
      </c>
      <c r="I142" s="145">
        <f t="shared" si="27"/>
        <v>0</v>
      </c>
      <c r="J142" s="146"/>
      <c r="K142" s="143">
        <v>0</v>
      </c>
      <c r="L142" s="143">
        <v>0</v>
      </c>
      <c r="M142" s="144">
        <f t="shared" si="28"/>
        <v>0</v>
      </c>
      <c r="N142" s="145">
        <f t="shared" si="29"/>
        <v>0</v>
      </c>
      <c r="O142" s="147"/>
      <c r="P142" s="146"/>
      <c r="Q142" s="143">
        <v>0</v>
      </c>
      <c r="R142" s="143">
        <v>-200.19</v>
      </c>
      <c r="S142" s="144">
        <f t="shared" si="30"/>
        <v>200.19</v>
      </c>
      <c r="T142" s="145" t="str">
        <f t="shared" si="31"/>
        <v>N.M.</v>
      </c>
      <c r="U142" s="146"/>
      <c r="V142" s="143">
        <v>0</v>
      </c>
      <c r="W142" s="143">
        <v>-7007.9800000000005</v>
      </c>
      <c r="X142" s="144">
        <f t="shared" si="32"/>
        <v>7007.9800000000005</v>
      </c>
      <c r="Y142" s="145" t="str">
        <f t="shared" si="33"/>
        <v>N.M.</v>
      </c>
      <c r="Z142" s="148"/>
      <c r="AA142" s="149">
        <v>-200.19</v>
      </c>
      <c r="AB142" s="150"/>
      <c r="AC142" s="117">
        <v>0</v>
      </c>
      <c r="AD142" s="117">
        <v>0</v>
      </c>
      <c r="AE142" s="117">
        <v>0</v>
      </c>
      <c r="AF142" s="117">
        <v>0</v>
      </c>
      <c r="AG142" s="117">
        <v>0</v>
      </c>
      <c r="AH142" s="117">
        <v>0</v>
      </c>
      <c r="AI142" s="117">
        <v>0</v>
      </c>
      <c r="AJ142" s="117">
        <v>0</v>
      </c>
      <c r="AK142" s="117">
        <v>0</v>
      </c>
      <c r="AL142" s="117">
        <v>0</v>
      </c>
      <c r="AM142" s="117">
        <v>0</v>
      </c>
      <c r="AN142" s="117">
        <v>0</v>
      </c>
      <c r="AO142" s="150"/>
      <c r="AP142" s="117">
        <v>0</v>
      </c>
      <c r="AQ142" s="117">
        <v>0</v>
      </c>
      <c r="AR142" s="117">
        <v>0</v>
      </c>
      <c r="AS142" s="117">
        <v>0</v>
      </c>
      <c r="AT142" s="117">
        <v>0</v>
      </c>
      <c r="AU142" s="117">
        <v>0</v>
      </c>
      <c r="AV142" s="117">
        <v>0</v>
      </c>
      <c r="AW142" s="117">
        <v>0</v>
      </c>
      <c r="AX142" s="117">
        <v>0</v>
      </c>
      <c r="AY142" s="117">
        <v>0</v>
      </c>
      <c r="AZ142" s="117">
        <v>0</v>
      </c>
      <c r="BA142" s="117">
        <v>0</v>
      </c>
    </row>
    <row r="143" spans="1:53" s="138" customFormat="1" outlineLevel="2" x14ac:dyDescent="0.25">
      <c r="A143" s="138" t="s">
        <v>537</v>
      </c>
      <c r="B143" s="139" t="s">
        <v>538</v>
      </c>
      <c r="C143" s="140" t="s">
        <v>539</v>
      </c>
      <c r="D143" s="141"/>
      <c r="E143" s="142"/>
      <c r="F143" s="143">
        <v>0</v>
      </c>
      <c r="G143" s="143">
        <v>0</v>
      </c>
      <c r="H143" s="144">
        <f t="shared" si="26"/>
        <v>0</v>
      </c>
      <c r="I143" s="145">
        <f t="shared" si="27"/>
        <v>0</v>
      </c>
      <c r="J143" s="146"/>
      <c r="K143" s="143">
        <v>0</v>
      </c>
      <c r="L143" s="143">
        <v>0</v>
      </c>
      <c r="M143" s="144">
        <f t="shared" si="28"/>
        <v>0</v>
      </c>
      <c r="N143" s="145">
        <f t="shared" si="29"/>
        <v>0</v>
      </c>
      <c r="O143" s="147"/>
      <c r="P143" s="146"/>
      <c r="Q143" s="143">
        <v>0</v>
      </c>
      <c r="R143" s="143">
        <v>641292.14</v>
      </c>
      <c r="S143" s="144">
        <f t="shared" si="30"/>
        <v>-641292.14</v>
      </c>
      <c r="T143" s="145" t="str">
        <f t="shared" si="31"/>
        <v>N.M.</v>
      </c>
      <c r="U143" s="146"/>
      <c r="V143" s="143">
        <v>0</v>
      </c>
      <c r="W143" s="143">
        <v>0</v>
      </c>
      <c r="X143" s="144">
        <f t="shared" si="32"/>
        <v>0</v>
      </c>
      <c r="Y143" s="145">
        <f t="shared" si="33"/>
        <v>0</v>
      </c>
      <c r="Z143" s="148"/>
      <c r="AA143" s="149">
        <v>641292.14</v>
      </c>
      <c r="AB143" s="150"/>
      <c r="AC143" s="117">
        <v>0</v>
      </c>
      <c r="AD143" s="117">
        <v>0</v>
      </c>
      <c r="AE143" s="117">
        <v>0</v>
      </c>
      <c r="AF143" s="117">
        <v>0</v>
      </c>
      <c r="AG143" s="117">
        <v>0</v>
      </c>
      <c r="AH143" s="117">
        <v>0</v>
      </c>
      <c r="AI143" s="117">
        <v>0</v>
      </c>
      <c r="AJ143" s="117">
        <v>0</v>
      </c>
      <c r="AK143" s="117">
        <v>0</v>
      </c>
      <c r="AL143" s="117">
        <v>0</v>
      </c>
      <c r="AM143" s="117">
        <v>0</v>
      </c>
      <c r="AN143" s="117">
        <v>0</v>
      </c>
      <c r="AO143" s="150"/>
      <c r="AP143" s="117">
        <v>0</v>
      </c>
      <c r="AQ143" s="117">
        <v>0</v>
      </c>
      <c r="AR143" s="117">
        <v>0</v>
      </c>
      <c r="AS143" s="117">
        <v>0</v>
      </c>
      <c r="AT143" s="117">
        <v>0</v>
      </c>
      <c r="AU143" s="117">
        <v>0</v>
      </c>
      <c r="AV143" s="117">
        <v>0</v>
      </c>
      <c r="AW143" s="117">
        <v>0</v>
      </c>
      <c r="AX143" s="117">
        <v>0</v>
      </c>
      <c r="AY143" s="117">
        <v>0</v>
      </c>
      <c r="AZ143" s="117">
        <v>0</v>
      </c>
      <c r="BA143" s="117">
        <v>0</v>
      </c>
    </row>
    <row r="144" spans="1:53" s="138" customFormat="1" outlineLevel="2" x14ac:dyDescent="0.25">
      <c r="A144" s="138" t="s">
        <v>540</v>
      </c>
      <c r="B144" s="139" t="s">
        <v>541</v>
      </c>
      <c r="C144" s="140" t="s">
        <v>542</v>
      </c>
      <c r="D144" s="141"/>
      <c r="E144" s="142"/>
      <c r="F144" s="143">
        <v>482555.43</v>
      </c>
      <c r="G144" s="143">
        <v>-166776.01999999999</v>
      </c>
      <c r="H144" s="144">
        <f t="shared" si="26"/>
        <v>649331.44999999995</v>
      </c>
      <c r="I144" s="145">
        <f t="shared" si="27"/>
        <v>3.8934341399920682</v>
      </c>
      <c r="J144" s="146"/>
      <c r="K144" s="143">
        <v>1247343.27</v>
      </c>
      <c r="L144" s="143">
        <v>-286216.71000000002</v>
      </c>
      <c r="M144" s="144">
        <f t="shared" si="28"/>
        <v>1533559.98</v>
      </c>
      <c r="N144" s="145">
        <f t="shared" si="29"/>
        <v>5.3580379007221479</v>
      </c>
      <c r="O144" s="147"/>
      <c r="P144" s="146"/>
      <c r="Q144" s="143">
        <v>1423882.69</v>
      </c>
      <c r="R144" s="143">
        <v>-644646.32000000007</v>
      </c>
      <c r="S144" s="144">
        <f t="shared" si="30"/>
        <v>2068529.01</v>
      </c>
      <c r="T144" s="145">
        <f t="shared" si="31"/>
        <v>3.208781227510924</v>
      </c>
      <c r="U144" s="146"/>
      <c r="V144" s="143">
        <v>2613980.89</v>
      </c>
      <c r="W144" s="143">
        <v>-2151025.65</v>
      </c>
      <c r="X144" s="144">
        <f t="shared" si="32"/>
        <v>4765006.54</v>
      </c>
      <c r="Y144" s="145">
        <f t="shared" si="33"/>
        <v>2.2152253461040785</v>
      </c>
      <c r="Z144" s="148"/>
      <c r="AA144" s="149">
        <v>-358429.61</v>
      </c>
      <c r="AB144" s="150"/>
      <c r="AC144" s="117">
        <v>-119440.69</v>
      </c>
      <c r="AD144" s="117">
        <v>-166776.01999999999</v>
      </c>
      <c r="AE144" s="117">
        <v>-110519.89</v>
      </c>
      <c r="AF144" s="117">
        <v>171793.81</v>
      </c>
      <c r="AG144" s="117">
        <v>283115.40000000002</v>
      </c>
      <c r="AH144" s="117">
        <v>-1281008.8700000001</v>
      </c>
      <c r="AI144" s="117">
        <v>74779.87</v>
      </c>
      <c r="AJ144" s="117">
        <v>476939.56</v>
      </c>
      <c r="AK144" s="117">
        <v>510783.64</v>
      </c>
      <c r="AL144" s="117">
        <v>193835.43</v>
      </c>
      <c r="AM144" s="117">
        <v>870379.25</v>
      </c>
      <c r="AN144" s="117">
        <v>176539.42</v>
      </c>
      <c r="AO144" s="150"/>
      <c r="AP144" s="117">
        <v>764787.84</v>
      </c>
      <c r="AQ144" s="117">
        <v>482555.43</v>
      </c>
      <c r="AR144" s="117">
        <v>0</v>
      </c>
      <c r="AS144" s="117">
        <v>0</v>
      </c>
      <c r="AT144" s="117">
        <v>0</v>
      </c>
      <c r="AU144" s="117">
        <v>0</v>
      </c>
      <c r="AV144" s="117">
        <v>0</v>
      </c>
      <c r="AW144" s="117">
        <v>0</v>
      </c>
      <c r="AX144" s="117">
        <v>0</v>
      </c>
      <c r="AY144" s="117">
        <v>0</v>
      </c>
      <c r="AZ144" s="117">
        <v>0</v>
      </c>
      <c r="BA144" s="117">
        <v>0</v>
      </c>
    </row>
    <row r="145" spans="1:53" s="138" customFormat="1" outlineLevel="2" x14ac:dyDescent="0.25">
      <c r="A145" s="138" t="s">
        <v>543</v>
      </c>
      <c r="B145" s="139" t="s">
        <v>121</v>
      </c>
      <c r="C145" s="140" t="s">
        <v>113</v>
      </c>
      <c r="D145" s="141"/>
      <c r="E145" s="142"/>
      <c r="F145" s="143">
        <v>433117.24</v>
      </c>
      <c r="G145" s="143">
        <v>-112842.27</v>
      </c>
      <c r="H145" s="144">
        <f t="shared" si="26"/>
        <v>545959.51</v>
      </c>
      <c r="I145" s="145">
        <f t="shared" si="27"/>
        <v>4.8382535197138443</v>
      </c>
      <c r="J145" s="146"/>
      <c r="K145" s="143">
        <v>185709.66</v>
      </c>
      <c r="L145" s="143">
        <v>172054.11000000002</v>
      </c>
      <c r="M145" s="144">
        <f t="shared" si="28"/>
        <v>13655.549999999988</v>
      </c>
      <c r="N145" s="145">
        <f t="shared" si="29"/>
        <v>7.9367764013309458E-2</v>
      </c>
      <c r="O145" s="147"/>
      <c r="P145" s="146"/>
      <c r="Q145" s="143">
        <v>548110.07999999996</v>
      </c>
      <c r="R145" s="143">
        <v>187144.11000000002</v>
      </c>
      <c r="S145" s="144">
        <f t="shared" si="30"/>
        <v>360965.97</v>
      </c>
      <c r="T145" s="145">
        <f t="shared" si="31"/>
        <v>1.9288128811534595</v>
      </c>
      <c r="U145" s="146"/>
      <c r="V145" s="143">
        <v>79782.100000000006</v>
      </c>
      <c r="W145" s="143">
        <v>-108570.88999999998</v>
      </c>
      <c r="X145" s="144">
        <f t="shared" si="32"/>
        <v>188352.99</v>
      </c>
      <c r="Y145" s="145">
        <f t="shared" si="33"/>
        <v>1.7348387767660376</v>
      </c>
      <c r="Z145" s="148"/>
      <c r="AA145" s="149">
        <v>15090</v>
      </c>
      <c r="AB145" s="150"/>
      <c r="AC145" s="117">
        <v>284896.38</v>
      </c>
      <c r="AD145" s="117">
        <v>-112842.27</v>
      </c>
      <c r="AE145" s="117">
        <v>-32092.780000000002</v>
      </c>
      <c r="AF145" s="117">
        <v>-93648.76</v>
      </c>
      <c r="AG145" s="117">
        <v>-5594.02</v>
      </c>
      <c r="AH145" s="117">
        <v>328617.07</v>
      </c>
      <c r="AI145" s="117">
        <v>181244.68</v>
      </c>
      <c r="AJ145" s="117">
        <v>-327902.69</v>
      </c>
      <c r="AK145" s="117">
        <v>56799.64</v>
      </c>
      <c r="AL145" s="117">
        <v>-428968.84</v>
      </c>
      <c r="AM145" s="117">
        <v>-146782.28</v>
      </c>
      <c r="AN145" s="117">
        <v>362400.42</v>
      </c>
      <c r="AO145" s="150"/>
      <c r="AP145" s="117">
        <v>-247407.58000000002</v>
      </c>
      <c r="AQ145" s="117">
        <v>433117.24</v>
      </c>
      <c r="AR145" s="117">
        <v>100871.09</v>
      </c>
      <c r="AS145" s="117">
        <v>-31222.3</v>
      </c>
      <c r="AT145" s="117">
        <v>0</v>
      </c>
      <c r="AU145" s="117">
        <v>0</v>
      </c>
      <c r="AV145" s="117">
        <v>0</v>
      </c>
      <c r="AW145" s="117">
        <v>0</v>
      </c>
      <c r="AX145" s="117">
        <v>0</v>
      </c>
      <c r="AY145" s="117">
        <v>0</v>
      </c>
      <c r="AZ145" s="117">
        <v>0</v>
      </c>
      <c r="BA145" s="117">
        <v>0</v>
      </c>
    </row>
    <row r="146" spans="1:53" s="138" customFormat="1" outlineLevel="2" x14ac:dyDescent="0.25">
      <c r="A146" s="138" t="s">
        <v>544</v>
      </c>
      <c r="B146" s="139" t="s">
        <v>545</v>
      </c>
      <c r="C146" s="140" t="s">
        <v>546</v>
      </c>
      <c r="D146" s="141"/>
      <c r="E146" s="142"/>
      <c r="F146" s="143">
        <v>0</v>
      </c>
      <c r="G146" s="143">
        <v>0</v>
      </c>
      <c r="H146" s="144">
        <f t="shared" si="26"/>
        <v>0</v>
      </c>
      <c r="I146" s="145">
        <f t="shared" si="27"/>
        <v>0</v>
      </c>
      <c r="J146" s="146"/>
      <c r="K146" s="143">
        <v>0</v>
      </c>
      <c r="L146" s="143">
        <v>0</v>
      </c>
      <c r="M146" s="144">
        <f t="shared" si="28"/>
        <v>0</v>
      </c>
      <c r="N146" s="145">
        <f t="shared" si="29"/>
        <v>0</v>
      </c>
      <c r="O146" s="147"/>
      <c r="P146" s="146"/>
      <c r="Q146" s="143">
        <v>18.84</v>
      </c>
      <c r="R146" s="143">
        <v>0.47000000000000003</v>
      </c>
      <c r="S146" s="144">
        <f t="shared" si="30"/>
        <v>18.37</v>
      </c>
      <c r="T146" s="145" t="str">
        <f t="shared" si="31"/>
        <v>N.M.</v>
      </c>
      <c r="U146" s="146"/>
      <c r="V146" s="143">
        <v>18.84</v>
      </c>
      <c r="W146" s="143">
        <v>0.47000000000000003</v>
      </c>
      <c r="X146" s="144">
        <f t="shared" si="32"/>
        <v>18.37</v>
      </c>
      <c r="Y146" s="145" t="str">
        <f t="shared" si="33"/>
        <v>N.M.</v>
      </c>
      <c r="Z146" s="148"/>
      <c r="AA146" s="149">
        <v>0.47000000000000003</v>
      </c>
      <c r="AB146" s="150"/>
      <c r="AC146" s="117">
        <v>0</v>
      </c>
      <c r="AD146" s="117">
        <v>0</v>
      </c>
      <c r="AE146" s="117">
        <v>0</v>
      </c>
      <c r="AF146" s="117">
        <v>0</v>
      </c>
      <c r="AG146" s="117">
        <v>0</v>
      </c>
      <c r="AH146" s="117">
        <v>0</v>
      </c>
      <c r="AI146" s="117">
        <v>0</v>
      </c>
      <c r="AJ146" s="117">
        <v>0</v>
      </c>
      <c r="AK146" s="117">
        <v>0</v>
      </c>
      <c r="AL146" s="117">
        <v>0</v>
      </c>
      <c r="AM146" s="117">
        <v>0</v>
      </c>
      <c r="AN146" s="117">
        <v>18.84</v>
      </c>
      <c r="AO146" s="150"/>
      <c r="AP146" s="117">
        <v>0</v>
      </c>
      <c r="AQ146" s="117">
        <v>0</v>
      </c>
      <c r="AR146" s="117">
        <v>0</v>
      </c>
      <c r="AS146" s="117">
        <v>0</v>
      </c>
      <c r="AT146" s="117">
        <v>0</v>
      </c>
      <c r="AU146" s="117">
        <v>0</v>
      </c>
      <c r="AV146" s="117">
        <v>0</v>
      </c>
      <c r="AW146" s="117">
        <v>0</v>
      </c>
      <c r="AX146" s="117">
        <v>0</v>
      </c>
      <c r="AY146" s="117">
        <v>0</v>
      </c>
      <c r="AZ146" s="117">
        <v>0</v>
      </c>
      <c r="BA146" s="117">
        <v>0</v>
      </c>
    </row>
    <row r="147" spans="1:53" s="138" customFormat="1" outlineLevel="2" x14ac:dyDescent="0.25">
      <c r="A147" s="138" t="s">
        <v>547</v>
      </c>
      <c r="B147" s="139" t="s">
        <v>548</v>
      </c>
      <c r="C147" s="140" t="s">
        <v>549</v>
      </c>
      <c r="D147" s="141"/>
      <c r="E147" s="142"/>
      <c r="F147" s="143">
        <v>19902.04</v>
      </c>
      <c r="G147" s="143">
        <v>32712.14</v>
      </c>
      <c r="H147" s="144">
        <f t="shared" si="26"/>
        <v>-12810.099999999999</v>
      </c>
      <c r="I147" s="145">
        <f t="shared" si="27"/>
        <v>-0.39160079407828408</v>
      </c>
      <c r="J147" s="146"/>
      <c r="K147" s="143">
        <v>48685.11</v>
      </c>
      <c r="L147" s="143">
        <v>203338.34</v>
      </c>
      <c r="M147" s="144">
        <f t="shared" si="28"/>
        <v>-154653.22999999998</v>
      </c>
      <c r="N147" s="145">
        <f t="shared" si="29"/>
        <v>-0.76057092823714401</v>
      </c>
      <c r="O147" s="147"/>
      <c r="P147" s="146"/>
      <c r="Q147" s="143">
        <v>91173.9</v>
      </c>
      <c r="R147" s="143">
        <v>190163.22</v>
      </c>
      <c r="S147" s="144">
        <f t="shared" si="30"/>
        <v>-98989.32</v>
      </c>
      <c r="T147" s="145">
        <f t="shared" si="31"/>
        <v>-0.52054924185654827</v>
      </c>
      <c r="U147" s="146"/>
      <c r="V147" s="143">
        <v>387824.21</v>
      </c>
      <c r="W147" s="143">
        <v>1591169.4600000002</v>
      </c>
      <c r="X147" s="144">
        <f t="shared" si="32"/>
        <v>-1203345.2500000002</v>
      </c>
      <c r="Y147" s="145">
        <f t="shared" si="33"/>
        <v>-0.75626467214874782</v>
      </c>
      <c r="Z147" s="148"/>
      <c r="AA147" s="149">
        <v>-13175.12</v>
      </c>
      <c r="AB147" s="150"/>
      <c r="AC147" s="117">
        <v>170626.2</v>
      </c>
      <c r="AD147" s="117">
        <v>32712.14</v>
      </c>
      <c r="AE147" s="117">
        <v>21174.28</v>
      </c>
      <c r="AF147" s="117">
        <v>30709.73</v>
      </c>
      <c r="AG147" s="117">
        <v>24820.18</v>
      </c>
      <c r="AH147" s="117">
        <v>40315.279999999999</v>
      </c>
      <c r="AI147" s="117">
        <v>41156.629999999997</v>
      </c>
      <c r="AJ147" s="117">
        <v>49570.26</v>
      </c>
      <c r="AK147" s="117">
        <v>25942.010000000002</v>
      </c>
      <c r="AL147" s="117">
        <v>23488.03</v>
      </c>
      <c r="AM147" s="117">
        <v>39473.910000000003</v>
      </c>
      <c r="AN147" s="117">
        <v>42488.79</v>
      </c>
      <c r="AO147" s="150"/>
      <c r="AP147" s="117">
        <v>28783.07</v>
      </c>
      <c r="AQ147" s="117">
        <v>19902.04</v>
      </c>
      <c r="AR147" s="117">
        <v>0</v>
      </c>
      <c r="AS147" s="117">
        <v>0</v>
      </c>
      <c r="AT147" s="117">
        <v>0</v>
      </c>
      <c r="AU147" s="117">
        <v>0</v>
      </c>
      <c r="AV147" s="117">
        <v>0</v>
      </c>
      <c r="AW147" s="117">
        <v>0</v>
      </c>
      <c r="AX147" s="117">
        <v>0</v>
      </c>
      <c r="AY147" s="117">
        <v>0</v>
      </c>
      <c r="AZ147" s="117">
        <v>0</v>
      </c>
      <c r="BA147" s="117">
        <v>0</v>
      </c>
    </row>
    <row r="148" spans="1:53" s="138" customFormat="1" outlineLevel="2" x14ac:dyDescent="0.25">
      <c r="A148" s="138" t="s">
        <v>550</v>
      </c>
      <c r="B148" s="139" t="s">
        <v>551</v>
      </c>
      <c r="C148" s="140" t="s">
        <v>552</v>
      </c>
      <c r="D148" s="141"/>
      <c r="E148" s="142"/>
      <c r="F148" s="143">
        <v>0</v>
      </c>
      <c r="G148" s="143">
        <v>0</v>
      </c>
      <c r="H148" s="144">
        <f t="shared" si="26"/>
        <v>0</v>
      </c>
      <c r="I148" s="145">
        <f t="shared" si="27"/>
        <v>0</v>
      </c>
      <c r="J148" s="146"/>
      <c r="K148" s="143">
        <v>0</v>
      </c>
      <c r="L148" s="143">
        <v>0</v>
      </c>
      <c r="M148" s="144">
        <f t="shared" si="28"/>
        <v>0</v>
      </c>
      <c r="N148" s="145">
        <f t="shared" si="29"/>
        <v>0</v>
      </c>
      <c r="O148" s="147"/>
      <c r="P148" s="146"/>
      <c r="Q148" s="143">
        <v>0</v>
      </c>
      <c r="R148" s="143">
        <v>0</v>
      </c>
      <c r="S148" s="144">
        <f t="shared" si="30"/>
        <v>0</v>
      </c>
      <c r="T148" s="145">
        <f t="shared" si="31"/>
        <v>0</v>
      </c>
      <c r="U148" s="146"/>
      <c r="V148" s="143">
        <v>0</v>
      </c>
      <c r="W148" s="143">
        <v>454.17</v>
      </c>
      <c r="X148" s="144">
        <f t="shared" si="32"/>
        <v>-454.17</v>
      </c>
      <c r="Y148" s="145" t="str">
        <f t="shared" si="33"/>
        <v>N.M.</v>
      </c>
      <c r="Z148" s="148"/>
      <c r="AA148" s="149">
        <v>0</v>
      </c>
      <c r="AB148" s="150"/>
      <c r="AC148" s="117">
        <v>0</v>
      </c>
      <c r="AD148" s="117">
        <v>0</v>
      </c>
      <c r="AE148" s="117">
        <v>0</v>
      </c>
      <c r="AF148" s="117">
        <v>0</v>
      </c>
      <c r="AG148" s="117">
        <v>0</v>
      </c>
      <c r="AH148" s="117">
        <v>0</v>
      </c>
      <c r="AI148" s="117">
        <v>0</v>
      </c>
      <c r="AJ148" s="117">
        <v>0</v>
      </c>
      <c r="AK148" s="117">
        <v>0</v>
      </c>
      <c r="AL148" s="117">
        <v>0</v>
      </c>
      <c r="AM148" s="117">
        <v>0</v>
      </c>
      <c r="AN148" s="117">
        <v>0</v>
      </c>
      <c r="AO148" s="150"/>
      <c r="AP148" s="117">
        <v>0</v>
      </c>
      <c r="AQ148" s="117">
        <v>0</v>
      </c>
      <c r="AR148" s="117">
        <v>0</v>
      </c>
      <c r="AS148" s="117">
        <v>0</v>
      </c>
      <c r="AT148" s="117">
        <v>0</v>
      </c>
      <c r="AU148" s="117">
        <v>0</v>
      </c>
      <c r="AV148" s="117">
        <v>0</v>
      </c>
      <c r="AW148" s="117">
        <v>0</v>
      </c>
      <c r="AX148" s="117">
        <v>0</v>
      </c>
      <c r="AY148" s="117">
        <v>0</v>
      </c>
      <c r="AZ148" s="117">
        <v>0</v>
      </c>
      <c r="BA148" s="117">
        <v>0</v>
      </c>
    </row>
    <row r="149" spans="1:53" s="138" customFormat="1" outlineLevel="2" x14ac:dyDescent="0.25">
      <c r="A149" s="138" t="s">
        <v>553</v>
      </c>
      <c r="B149" s="139" t="s">
        <v>554</v>
      </c>
      <c r="C149" s="140" t="s">
        <v>555</v>
      </c>
      <c r="D149" s="141"/>
      <c r="E149" s="142"/>
      <c r="F149" s="143">
        <v>253.04</v>
      </c>
      <c r="G149" s="143">
        <v>623.33000000000004</v>
      </c>
      <c r="H149" s="144">
        <f t="shared" si="26"/>
        <v>-370.29000000000008</v>
      </c>
      <c r="I149" s="145">
        <f t="shared" si="27"/>
        <v>-0.59405130508719306</v>
      </c>
      <c r="J149" s="146"/>
      <c r="K149" s="143">
        <v>616.66999999999996</v>
      </c>
      <c r="L149" s="143">
        <v>24666.25</v>
      </c>
      <c r="M149" s="144">
        <f t="shared" si="28"/>
        <v>-24049.58</v>
      </c>
      <c r="N149" s="145">
        <f t="shared" si="29"/>
        <v>-0.97499944255815141</v>
      </c>
      <c r="O149" s="147"/>
      <c r="P149" s="146"/>
      <c r="Q149" s="143">
        <v>1352.1799999999998</v>
      </c>
      <c r="R149" s="143">
        <v>22509.599999999999</v>
      </c>
      <c r="S149" s="144">
        <f t="shared" si="30"/>
        <v>-21157.42</v>
      </c>
      <c r="T149" s="145">
        <f t="shared" si="31"/>
        <v>-0.93992874151473149</v>
      </c>
      <c r="U149" s="146"/>
      <c r="V149" s="143">
        <v>6487.4400000000005</v>
      </c>
      <c r="W149" s="143">
        <v>251840.80000000002</v>
      </c>
      <c r="X149" s="144">
        <f t="shared" si="32"/>
        <v>-245353.36000000002</v>
      </c>
      <c r="Y149" s="145">
        <f t="shared" si="33"/>
        <v>-0.97423991664575393</v>
      </c>
      <c r="Z149" s="148"/>
      <c r="AA149" s="149">
        <v>-2156.65</v>
      </c>
      <c r="AB149" s="150"/>
      <c r="AC149" s="117">
        <v>24042.920000000002</v>
      </c>
      <c r="AD149" s="117">
        <v>623.33000000000004</v>
      </c>
      <c r="AE149" s="117">
        <v>366.55</v>
      </c>
      <c r="AF149" s="117">
        <v>531.61</v>
      </c>
      <c r="AG149" s="117">
        <v>429.66</v>
      </c>
      <c r="AH149" s="117">
        <v>693.03</v>
      </c>
      <c r="AI149" s="117">
        <v>717.32</v>
      </c>
      <c r="AJ149" s="117">
        <v>858.09</v>
      </c>
      <c r="AK149" s="117">
        <v>449.08</v>
      </c>
      <c r="AL149" s="117">
        <v>406.59000000000003</v>
      </c>
      <c r="AM149" s="117">
        <v>683.33</v>
      </c>
      <c r="AN149" s="117">
        <v>735.51</v>
      </c>
      <c r="AO149" s="150"/>
      <c r="AP149" s="117">
        <v>363.63</v>
      </c>
      <c r="AQ149" s="117">
        <v>253.04</v>
      </c>
      <c r="AR149" s="117">
        <v>0</v>
      </c>
      <c r="AS149" s="117">
        <v>0</v>
      </c>
      <c r="AT149" s="117">
        <v>0</v>
      </c>
      <c r="AU149" s="117">
        <v>0</v>
      </c>
      <c r="AV149" s="117">
        <v>0</v>
      </c>
      <c r="AW149" s="117">
        <v>0</v>
      </c>
      <c r="AX149" s="117">
        <v>0</v>
      </c>
      <c r="AY149" s="117">
        <v>0</v>
      </c>
      <c r="AZ149" s="117">
        <v>0</v>
      </c>
      <c r="BA149" s="117">
        <v>0</v>
      </c>
    </row>
    <row r="150" spans="1:53" s="138" customFormat="1" outlineLevel="2" x14ac:dyDescent="0.25">
      <c r="A150" s="138" t="s">
        <v>556</v>
      </c>
      <c r="B150" s="139" t="s">
        <v>122</v>
      </c>
      <c r="C150" s="140" t="s">
        <v>113</v>
      </c>
      <c r="D150" s="141"/>
      <c r="E150" s="142"/>
      <c r="F150" s="143">
        <v>15208.36</v>
      </c>
      <c r="G150" s="143">
        <v>-13539.470000000001</v>
      </c>
      <c r="H150" s="144">
        <f t="shared" si="26"/>
        <v>28747.83</v>
      </c>
      <c r="I150" s="145">
        <f t="shared" si="27"/>
        <v>2.1232611025394643</v>
      </c>
      <c r="J150" s="146"/>
      <c r="K150" s="143">
        <v>1208.8500000000001</v>
      </c>
      <c r="L150" s="143">
        <v>-21166.9</v>
      </c>
      <c r="M150" s="144">
        <f t="shared" si="28"/>
        <v>22375.75</v>
      </c>
      <c r="N150" s="145">
        <f t="shared" si="29"/>
        <v>1.0571103940586482</v>
      </c>
      <c r="O150" s="147"/>
      <c r="P150" s="146"/>
      <c r="Q150" s="143">
        <v>-26924.49</v>
      </c>
      <c r="R150" s="143">
        <v>-19661.900000000001</v>
      </c>
      <c r="S150" s="144">
        <f t="shared" si="30"/>
        <v>-7262.59</v>
      </c>
      <c r="T150" s="145">
        <f t="shared" si="31"/>
        <v>-0.36937376347148543</v>
      </c>
      <c r="U150" s="146"/>
      <c r="V150" s="143">
        <v>-3508.33</v>
      </c>
      <c r="W150" s="143">
        <v>-29493.9</v>
      </c>
      <c r="X150" s="144">
        <f t="shared" si="32"/>
        <v>25985.57</v>
      </c>
      <c r="Y150" s="145">
        <f t="shared" si="33"/>
        <v>0.88104896266685651</v>
      </c>
      <c r="Z150" s="148"/>
      <c r="AA150" s="149">
        <v>1505</v>
      </c>
      <c r="AB150" s="150"/>
      <c r="AC150" s="117">
        <v>-7627.43</v>
      </c>
      <c r="AD150" s="117">
        <v>-13539.470000000001</v>
      </c>
      <c r="AE150" s="117">
        <v>5809.76</v>
      </c>
      <c r="AF150" s="117">
        <v>38067.18</v>
      </c>
      <c r="AG150" s="117">
        <v>-29298.91</v>
      </c>
      <c r="AH150" s="117">
        <v>4090.08</v>
      </c>
      <c r="AI150" s="117">
        <v>-14656.01</v>
      </c>
      <c r="AJ150" s="117">
        <v>-11594.460000000001</v>
      </c>
      <c r="AK150" s="117">
        <v>-12041.4</v>
      </c>
      <c r="AL150" s="117">
        <v>41201.83</v>
      </c>
      <c r="AM150" s="117">
        <v>1838.0900000000001</v>
      </c>
      <c r="AN150" s="117">
        <v>-28133.34</v>
      </c>
      <c r="AO150" s="150"/>
      <c r="AP150" s="117">
        <v>-13999.51</v>
      </c>
      <c r="AQ150" s="117">
        <v>15208.36</v>
      </c>
      <c r="AR150" s="117">
        <v>-3054.64</v>
      </c>
      <c r="AS150" s="117">
        <v>-282.13</v>
      </c>
      <c r="AT150" s="117">
        <v>0</v>
      </c>
      <c r="AU150" s="117">
        <v>0</v>
      </c>
      <c r="AV150" s="117">
        <v>0</v>
      </c>
      <c r="AW150" s="117">
        <v>0</v>
      </c>
      <c r="AX150" s="117">
        <v>0</v>
      </c>
      <c r="AY150" s="117">
        <v>0</v>
      </c>
      <c r="AZ150" s="117">
        <v>0</v>
      </c>
      <c r="BA150" s="117">
        <v>0</v>
      </c>
    </row>
    <row r="151" spans="1:53" s="211" customFormat="1" outlineLevel="1" x14ac:dyDescent="0.25">
      <c r="A151" s="211" t="s">
        <v>557</v>
      </c>
      <c r="B151" s="212"/>
      <c r="C151" s="213" t="s">
        <v>558</v>
      </c>
      <c r="D151" s="229"/>
      <c r="E151" s="229"/>
      <c r="F151" s="215">
        <v>2560087.88</v>
      </c>
      <c r="G151" s="215">
        <v>1295836.8720000002</v>
      </c>
      <c r="H151" s="236">
        <f t="shared" si="26"/>
        <v>1264251.0079999997</v>
      </c>
      <c r="I151" s="237">
        <f t="shared" si="27"/>
        <v>0.97562512328326423</v>
      </c>
      <c r="J151" s="231"/>
      <c r="K151" s="215">
        <v>4741689.8430000003</v>
      </c>
      <c r="L151" s="215">
        <v>2895302.0079999999</v>
      </c>
      <c r="M151" s="236">
        <f t="shared" si="28"/>
        <v>1846387.8350000004</v>
      </c>
      <c r="N151" s="232">
        <f t="shared" si="29"/>
        <v>0.63771856265710869</v>
      </c>
      <c r="O151" s="233"/>
      <c r="P151" s="233"/>
      <c r="Q151" s="215">
        <v>7513449.3039999986</v>
      </c>
      <c r="R151" s="215">
        <v>5214297.5150000006</v>
      </c>
      <c r="S151" s="236">
        <f t="shared" si="30"/>
        <v>2299151.788999998</v>
      </c>
      <c r="T151" s="237">
        <f t="shared" si="31"/>
        <v>0.44093222191215869</v>
      </c>
      <c r="U151" s="233"/>
      <c r="V151" s="215">
        <v>21416485.502000008</v>
      </c>
      <c r="W151" s="215">
        <v>17564849.295000002</v>
      </c>
      <c r="X151" s="236">
        <f t="shared" si="32"/>
        <v>3851636.207000006</v>
      </c>
      <c r="Y151" s="232">
        <f t="shared" si="33"/>
        <v>0.21928091396129484</v>
      </c>
      <c r="AA151" s="215">
        <v>2318995.5070000002</v>
      </c>
      <c r="AB151" s="235"/>
      <c r="AC151" s="215">
        <v>1599465.1359999999</v>
      </c>
      <c r="AD151" s="215">
        <v>1295836.8720000002</v>
      </c>
      <c r="AE151" s="215">
        <v>1274599.0200000005</v>
      </c>
      <c r="AF151" s="215">
        <v>2011642.4899999998</v>
      </c>
      <c r="AG151" s="215">
        <v>1472056.1840000001</v>
      </c>
      <c r="AH151" s="215">
        <v>140288.9999999998</v>
      </c>
      <c r="AI151" s="215">
        <v>2249903.8800000004</v>
      </c>
      <c r="AJ151" s="215">
        <v>1565373.8170000005</v>
      </c>
      <c r="AK151" s="215">
        <v>1947176.3080000002</v>
      </c>
      <c r="AL151" s="215">
        <v>889603.84099999978</v>
      </c>
      <c r="AM151" s="215">
        <v>2352391.6580000003</v>
      </c>
      <c r="AN151" s="215">
        <v>2771759.4609999997</v>
      </c>
      <c r="AO151" s="235"/>
      <c r="AP151" s="215">
        <v>2181601.963</v>
      </c>
      <c r="AQ151" s="215">
        <v>2560087.88</v>
      </c>
      <c r="AR151" s="215">
        <v>42506.97</v>
      </c>
      <c r="AS151" s="215">
        <v>-56802.02</v>
      </c>
      <c r="AT151" s="215">
        <v>0</v>
      </c>
      <c r="AU151" s="215">
        <v>0</v>
      </c>
      <c r="AV151" s="215">
        <v>0</v>
      </c>
      <c r="AW151" s="215">
        <v>0</v>
      </c>
      <c r="AX151" s="215">
        <v>0</v>
      </c>
      <c r="AY151" s="215">
        <v>0</v>
      </c>
      <c r="AZ151" s="215">
        <v>0</v>
      </c>
      <c r="BA151" s="215">
        <v>0</v>
      </c>
    </row>
    <row r="152" spans="1:53" s="211" customFormat="1" ht="0.75" customHeight="1" outlineLevel="2" x14ac:dyDescent="0.25">
      <c r="B152" s="212"/>
      <c r="C152" s="213"/>
      <c r="D152" s="229"/>
      <c r="E152" s="229"/>
      <c r="F152" s="215"/>
      <c r="G152" s="215"/>
      <c r="H152" s="236"/>
      <c r="I152" s="237"/>
      <c r="J152" s="231"/>
      <c r="K152" s="215"/>
      <c r="L152" s="215"/>
      <c r="M152" s="236"/>
      <c r="N152" s="232"/>
      <c r="O152" s="233"/>
      <c r="P152" s="233"/>
      <c r="Q152" s="215"/>
      <c r="R152" s="215"/>
      <c r="S152" s="236"/>
      <c r="T152" s="237"/>
      <c r="U152" s="233"/>
      <c r="V152" s="215"/>
      <c r="W152" s="215"/>
      <c r="X152" s="236"/>
      <c r="Y152" s="232"/>
      <c r="AA152" s="215"/>
      <c r="AB152" s="23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3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</row>
    <row r="153" spans="1:53" s="138" customFormat="1" outlineLevel="2" x14ac:dyDescent="0.25">
      <c r="A153" s="138" t="s">
        <v>559</v>
      </c>
      <c r="B153" s="139" t="s">
        <v>560</v>
      </c>
      <c r="C153" s="140" t="s">
        <v>499</v>
      </c>
      <c r="D153" s="141"/>
      <c r="E153" s="142"/>
      <c r="F153" s="143">
        <v>0</v>
      </c>
      <c r="G153" s="143">
        <v>0</v>
      </c>
      <c r="H153" s="144">
        <f>+F153-G153</f>
        <v>0</v>
      </c>
      <c r="I153" s="145">
        <f>IF(G153&lt;0,IF(H153=0,0,IF(OR(G153=0,F153=0),"N.M.",IF(ABS(H153/G153)&gt;=10,"N.M.",H153/(-G153)))),IF(H153=0,0,IF(OR(G153=0,F153=0),"N.M.",IF(ABS(H153/G153)&gt;=10,"N.M.",H153/G153))))</f>
        <v>0</v>
      </c>
      <c r="J153" s="146"/>
      <c r="K153" s="143">
        <v>0</v>
      </c>
      <c r="L153" s="143">
        <v>0</v>
      </c>
      <c r="M153" s="144">
        <f>+K153-L153</f>
        <v>0</v>
      </c>
      <c r="N153" s="145">
        <f>IF(L153&lt;0,IF(M153=0,0,IF(OR(L153=0,K153=0),"N.M.",IF(ABS(M153/L153)&gt;=10,"N.M.",M153/(-L153)))),IF(M153=0,0,IF(OR(L153=0,K153=0),"N.M.",IF(ABS(M153/L153)&gt;=10,"N.M.",M153/L153))))</f>
        <v>0</v>
      </c>
      <c r="O153" s="147"/>
      <c r="P153" s="146"/>
      <c r="Q153" s="143">
        <v>0</v>
      </c>
      <c r="R153" s="143">
        <v>0</v>
      </c>
      <c r="S153" s="144">
        <f>+Q153-R153</f>
        <v>0</v>
      </c>
      <c r="T153" s="145">
        <f>IF(R153&lt;0,IF(S153=0,0,IF(OR(R153=0,Q153=0),"N.M.",IF(ABS(S153/R153)&gt;=10,"N.M.",S153/(-R153)))),IF(S153=0,0,IF(OR(R153=0,Q153=0),"N.M.",IF(ABS(S153/R153)&gt;=10,"N.M.",S153/R153))))</f>
        <v>0</v>
      </c>
      <c r="U153" s="146"/>
      <c r="V153" s="143">
        <v>0</v>
      </c>
      <c r="W153" s="143">
        <v>-2.25</v>
      </c>
      <c r="X153" s="144">
        <f>+V153-W153</f>
        <v>2.25</v>
      </c>
      <c r="Y153" s="145" t="str">
        <f>IF(W153&lt;0,IF(X153=0,0,IF(OR(W153=0,V153=0),"N.M.",IF(ABS(X153/W153)&gt;=10,"N.M.",X153/(-W153)))),IF(X153=0,0,IF(OR(W153=0,V153=0),"N.M.",IF(ABS(X153/W153)&gt;=10,"N.M.",X153/W153))))</f>
        <v>N.M.</v>
      </c>
      <c r="Z153" s="148"/>
      <c r="AA153" s="149">
        <v>0</v>
      </c>
      <c r="AB153" s="150"/>
      <c r="AC153" s="117">
        <v>0</v>
      </c>
      <c r="AD153" s="117">
        <v>0</v>
      </c>
      <c r="AE153" s="117">
        <v>0</v>
      </c>
      <c r="AF153" s="117">
        <v>0</v>
      </c>
      <c r="AG153" s="117">
        <v>0</v>
      </c>
      <c r="AH153" s="117">
        <v>0</v>
      </c>
      <c r="AI153" s="117">
        <v>0</v>
      </c>
      <c r="AJ153" s="117">
        <v>0</v>
      </c>
      <c r="AK153" s="117">
        <v>0</v>
      </c>
      <c r="AL153" s="117">
        <v>0</v>
      </c>
      <c r="AM153" s="117">
        <v>0</v>
      </c>
      <c r="AN153" s="117">
        <v>0</v>
      </c>
      <c r="AO153" s="150"/>
      <c r="AP153" s="117">
        <v>0</v>
      </c>
      <c r="AQ153" s="117">
        <v>0</v>
      </c>
      <c r="AR153" s="117">
        <v>0</v>
      </c>
      <c r="AS153" s="117">
        <v>0</v>
      </c>
      <c r="AT153" s="117">
        <v>0</v>
      </c>
      <c r="AU153" s="117">
        <v>0</v>
      </c>
      <c r="AV153" s="117">
        <v>0</v>
      </c>
      <c r="AW153" s="117">
        <v>0</v>
      </c>
      <c r="AX153" s="117">
        <v>0</v>
      </c>
      <c r="AY153" s="117">
        <v>0</v>
      </c>
      <c r="AZ153" s="117">
        <v>0</v>
      </c>
      <c r="BA153" s="117">
        <v>0</v>
      </c>
    </row>
    <row r="154" spans="1:53" s="211" customFormat="1" outlineLevel="1" x14ac:dyDescent="0.25">
      <c r="A154" s="211" t="s">
        <v>561</v>
      </c>
      <c r="B154" s="212"/>
      <c r="C154" s="213" t="s">
        <v>562</v>
      </c>
      <c r="D154" s="229"/>
      <c r="E154" s="229"/>
      <c r="F154" s="215">
        <v>0</v>
      </c>
      <c r="G154" s="215">
        <v>0</v>
      </c>
      <c r="H154" s="236">
        <f>+F154-G154</f>
        <v>0</v>
      </c>
      <c r="I154" s="237">
        <f>IF(G154&lt;0,IF(H154=0,0,IF(OR(G154=0,F154=0),"N.M.",IF(ABS(H154/G154)&gt;=10,"N.M.",H154/(-G154)))),IF(H154=0,0,IF(OR(G154=0,F154=0),"N.M.",IF(ABS(H154/G154)&gt;=10,"N.M.",H154/G154))))</f>
        <v>0</v>
      </c>
      <c r="J154" s="231"/>
      <c r="K154" s="215">
        <v>0</v>
      </c>
      <c r="L154" s="215">
        <v>0</v>
      </c>
      <c r="M154" s="236">
        <f>+K154-L154</f>
        <v>0</v>
      </c>
      <c r="N154" s="232">
        <f>IF(L154&lt;0,IF(M154=0,0,IF(OR(L154=0,K154=0),"N.M.",IF(ABS(M154/L154)&gt;=10,"N.M.",M154/(-L154)))),IF(M154=0,0,IF(OR(L154=0,K154=0),"N.M.",IF(ABS(M154/L154)&gt;=10,"N.M.",M154/L154))))</f>
        <v>0</v>
      </c>
      <c r="O154" s="233"/>
      <c r="P154" s="233"/>
      <c r="Q154" s="215">
        <v>0</v>
      </c>
      <c r="R154" s="215">
        <v>0</v>
      </c>
      <c r="S154" s="236">
        <f>+Q154-R154</f>
        <v>0</v>
      </c>
      <c r="T154" s="237">
        <f>IF(R154&lt;0,IF(S154=0,0,IF(OR(R154=0,Q154=0),"N.M.",IF(ABS(S154/R154)&gt;=10,"N.M.",S154/(-R154)))),IF(S154=0,0,IF(OR(R154=0,Q154=0),"N.M.",IF(ABS(S154/R154)&gt;=10,"N.M.",S154/R154))))</f>
        <v>0</v>
      </c>
      <c r="U154" s="233"/>
      <c r="V154" s="215">
        <v>0</v>
      </c>
      <c r="W154" s="215">
        <v>-2.25</v>
      </c>
      <c r="X154" s="236">
        <f>+V154-W154</f>
        <v>2.25</v>
      </c>
      <c r="Y154" s="232" t="str">
        <f>IF(W154&lt;0,IF(X154=0,0,IF(OR(W154=0,V154=0),"N.M.",IF(ABS(X154/W154)&gt;=10,"N.M.",X154/(-W154)))),IF(X154=0,0,IF(OR(W154=0,V154=0),"N.M.",IF(ABS(X154/W154)&gt;=10,"N.M.",X154/W154))))</f>
        <v>N.M.</v>
      </c>
      <c r="AA154" s="215">
        <v>0</v>
      </c>
      <c r="AB154" s="235"/>
      <c r="AC154" s="215">
        <v>0</v>
      </c>
      <c r="AD154" s="215">
        <v>0</v>
      </c>
      <c r="AE154" s="215">
        <v>0</v>
      </c>
      <c r="AF154" s="215">
        <v>0</v>
      </c>
      <c r="AG154" s="215">
        <v>0</v>
      </c>
      <c r="AH154" s="215">
        <v>0</v>
      </c>
      <c r="AI154" s="215">
        <v>0</v>
      </c>
      <c r="AJ154" s="215">
        <v>0</v>
      </c>
      <c r="AK154" s="215">
        <v>0</v>
      </c>
      <c r="AL154" s="215">
        <v>0</v>
      </c>
      <c r="AM154" s="215">
        <v>0</v>
      </c>
      <c r="AN154" s="215">
        <v>0</v>
      </c>
      <c r="AO154" s="235"/>
      <c r="AP154" s="215">
        <v>0</v>
      </c>
      <c r="AQ154" s="215">
        <v>0</v>
      </c>
      <c r="AR154" s="215">
        <v>0</v>
      </c>
      <c r="AS154" s="215">
        <v>0</v>
      </c>
      <c r="AT154" s="215">
        <v>0</v>
      </c>
      <c r="AU154" s="215">
        <v>0</v>
      </c>
      <c r="AV154" s="215">
        <v>0</v>
      </c>
      <c r="AW154" s="215">
        <v>0</v>
      </c>
      <c r="AX154" s="215">
        <v>0</v>
      </c>
      <c r="AY154" s="215">
        <v>0</v>
      </c>
      <c r="AZ154" s="215">
        <v>0</v>
      </c>
      <c r="BA154" s="215">
        <v>0</v>
      </c>
    </row>
    <row r="155" spans="1:53" s="211" customFormat="1" ht="0.75" customHeight="1" outlineLevel="2" x14ac:dyDescent="0.25">
      <c r="B155" s="212"/>
      <c r="C155" s="213"/>
      <c r="D155" s="229"/>
      <c r="E155" s="229"/>
      <c r="F155" s="215"/>
      <c r="G155" s="215"/>
      <c r="H155" s="236"/>
      <c r="I155" s="237"/>
      <c r="J155" s="231"/>
      <c r="K155" s="215"/>
      <c r="L155" s="215"/>
      <c r="M155" s="236"/>
      <c r="N155" s="232"/>
      <c r="O155" s="233"/>
      <c r="P155" s="233"/>
      <c r="Q155" s="215"/>
      <c r="R155" s="215"/>
      <c r="S155" s="236"/>
      <c r="T155" s="237"/>
      <c r="U155" s="233"/>
      <c r="V155" s="215"/>
      <c r="W155" s="215"/>
      <c r="X155" s="236"/>
      <c r="Y155" s="232"/>
      <c r="AA155" s="215"/>
      <c r="AB155" s="23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3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</row>
    <row r="156" spans="1:53" s="211" customFormat="1" outlineLevel="1" x14ac:dyDescent="0.25">
      <c r="A156" s="211" t="s">
        <v>563</v>
      </c>
      <c r="B156" s="212"/>
      <c r="C156" s="213" t="s">
        <v>564</v>
      </c>
      <c r="D156" s="229"/>
      <c r="E156" s="229"/>
      <c r="F156" s="215">
        <v>0</v>
      </c>
      <c r="G156" s="215">
        <v>0</v>
      </c>
      <c r="H156" s="236">
        <f>+F156-G156</f>
        <v>0</v>
      </c>
      <c r="I156" s="237">
        <f>IF(G156&lt;0,IF(H156=0,0,IF(OR(G156=0,F156=0),"N.M.",IF(ABS(H156/G156)&gt;=10,"N.M.",H156/(-G156)))),IF(H156=0,0,IF(OR(G156=0,F156=0),"N.M.",IF(ABS(H156/G156)&gt;=10,"N.M.",H156/G156))))</f>
        <v>0</v>
      </c>
      <c r="J156" s="231"/>
      <c r="K156" s="215">
        <v>0</v>
      </c>
      <c r="L156" s="215">
        <v>0</v>
      </c>
      <c r="M156" s="236">
        <f>+K156-L156</f>
        <v>0</v>
      </c>
      <c r="N156" s="232">
        <f>IF(L156&lt;0,IF(M156=0,0,IF(OR(L156=0,K156=0),"N.M.",IF(ABS(M156/L156)&gt;=10,"N.M.",M156/(-L156)))),IF(M156=0,0,IF(OR(L156=0,K156=0),"N.M.",IF(ABS(M156/L156)&gt;=10,"N.M.",M156/L156))))</f>
        <v>0</v>
      </c>
      <c r="O156" s="233"/>
      <c r="P156" s="233"/>
      <c r="Q156" s="215">
        <v>0</v>
      </c>
      <c r="R156" s="215">
        <v>0</v>
      </c>
      <c r="S156" s="236">
        <f>+Q156-R156</f>
        <v>0</v>
      </c>
      <c r="T156" s="237">
        <f>IF(R156&lt;0,IF(S156=0,0,IF(OR(R156=0,Q156=0),"N.M.",IF(ABS(S156/R156)&gt;=10,"N.M.",S156/(-R156)))),IF(S156=0,0,IF(OR(R156=0,Q156=0),"N.M.",IF(ABS(S156/R156)&gt;=10,"N.M.",S156/R156))))</f>
        <v>0</v>
      </c>
      <c r="U156" s="233"/>
      <c r="V156" s="215">
        <v>0</v>
      </c>
      <c r="W156" s="215">
        <v>0</v>
      </c>
      <c r="X156" s="236">
        <f>+V156-W156</f>
        <v>0</v>
      </c>
      <c r="Y156" s="232">
        <f>IF(W156&lt;0,IF(X156=0,0,IF(OR(W156=0,V156=0),"N.M.",IF(ABS(X156/W156)&gt;=10,"N.M.",X156/(-W156)))),IF(X156=0,0,IF(OR(W156=0,V156=0),"N.M.",IF(ABS(X156/W156)&gt;=10,"N.M.",X156/W156))))</f>
        <v>0</v>
      </c>
      <c r="AA156" s="215">
        <v>0</v>
      </c>
      <c r="AB156" s="235"/>
      <c r="AC156" s="215">
        <v>0</v>
      </c>
      <c r="AD156" s="215">
        <v>0</v>
      </c>
      <c r="AE156" s="215">
        <v>0</v>
      </c>
      <c r="AF156" s="215">
        <v>0</v>
      </c>
      <c r="AG156" s="215">
        <v>0</v>
      </c>
      <c r="AH156" s="215">
        <v>0</v>
      </c>
      <c r="AI156" s="215">
        <v>0</v>
      </c>
      <c r="AJ156" s="215">
        <v>0</v>
      </c>
      <c r="AK156" s="215">
        <v>0</v>
      </c>
      <c r="AL156" s="215">
        <v>0</v>
      </c>
      <c r="AM156" s="215">
        <v>0</v>
      </c>
      <c r="AN156" s="215">
        <v>0</v>
      </c>
      <c r="AO156" s="235"/>
      <c r="AP156" s="215">
        <v>0</v>
      </c>
      <c r="AQ156" s="215">
        <v>0</v>
      </c>
      <c r="AR156" s="215">
        <v>0</v>
      </c>
      <c r="AS156" s="215">
        <v>0</v>
      </c>
      <c r="AT156" s="215">
        <v>0</v>
      </c>
      <c r="AU156" s="215">
        <v>0</v>
      </c>
      <c r="AV156" s="215">
        <v>0</v>
      </c>
      <c r="AW156" s="215">
        <v>0</v>
      </c>
      <c r="AX156" s="215">
        <v>0</v>
      </c>
      <c r="AY156" s="215">
        <v>0</v>
      </c>
      <c r="AZ156" s="215">
        <v>0</v>
      </c>
      <c r="BA156" s="215">
        <v>0</v>
      </c>
    </row>
    <row r="157" spans="1:53" s="211" customFormat="1" ht="0.75" customHeight="1" outlineLevel="2" x14ac:dyDescent="0.25">
      <c r="B157" s="212"/>
      <c r="C157" s="213"/>
      <c r="D157" s="229"/>
      <c r="E157" s="229"/>
      <c r="F157" s="215"/>
      <c r="G157" s="215"/>
      <c r="H157" s="236"/>
      <c r="I157" s="237"/>
      <c r="J157" s="231"/>
      <c r="K157" s="215"/>
      <c r="L157" s="215"/>
      <c r="M157" s="236"/>
      <c r="N157" s="232"/>
      <c r="O157" s="233"/>
      <c r="P157" s="233"/>
      <c r="Q157" s="215"/>
      <c r="R157" s="215"/>
      <c r="S157" s="236"/>
      <c r="T157" s="237"/>
      <c r="U157" s="233"/>
      <c r="V157" s="215"/>
      <c r="W157" s="215"/>
      <c r="X157" s="236"/>
      <c r="Y157" s="232"/>
      <c r="AA157" s="215"/>
      <c r="AB157" s="23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3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</row>
    <row r="158" spans="1:53" s="138" customFormat="1" outlineLevel="2" x14ac:dyDescent="0.25">
      <c r="A158" s="138" t="s">
        <v>565</v>
      </c>
      <c r="B158" s="139" t="s">
        <v>566</v>
      </c>
      <c r="C158" s="140" t="s">
        <v>567</v>
      </c>
      <c r="D158" s="141"/>
      <c r="E158" s="142"/>
      <c r="F158" s="143">
        <v>0</v>
      </c>
      <c r="G158" s="143">
        <v>0</v>
      </c>
      <c r="H158" s="144">
        <f>+F158-G158</f>
        <v>0</v>
      </c>
      <c r="I158" s="145">
        <f>IF(G158&lt;0,IF(H158=0,0,IF(OR(G158=0,F158=0),"N.M.",IF(ABS(H158/G158)&gt;=10,"N.M.",H158/(-G158)))),IF(H158=0,0,IF(OR(G158=0,F158=0),"N.M.",IF(ABS(H158/G158)&gt;=10,"N.M.",H158/G158))))</f>
        <v>0</v>
      </c>
      <c r="J158" s="146"/>
      <c r="K158" s="143">
        <v>0</v>
      </c>
      <c r="L158" s="143">
        <v>0</v>
      </c>
      <c r="M158" s="144">
        <f>+K158-L158</f>
        <v>0</v>
      </c>
      <c r="N158" s="145">
        <f>IF(L158&lt;0,IF(M158=0,0,IF(OR(L158=0,K158=0),"N.M.",IF(ABS(M158/L158)&gt;=10,"N.M.",M158/(-L158)))),IF(M158=0,0,IF(OR(L158=0,K158=0),"N.M.",IF(ABS(M158/L158)&gt;=10,"N.M.",M158/L158))))</f>
        <v>0</v>
      </c>
      <c r="O158" s="147"/>
      <c r="P158" s="146"/>
      <c r="Q158" s="143">
        <v>0</v>
      </c>
      <c r="R158" s="143">
        <v>0</v>
      </c>
      <c r="S158" s="144">
        <f>+Q158-R158</f>
        <v>0</v>
      </c>
      <c r="T158" s="145">
        <f>IF(R158&lt;0,IF(S158=0,0,IF(OR(R158=0,Q158=0),"N.M.",IF(ABS(S158/R158)&gt;=10,"N.M.",S158/(-R158)))),IF(S158=0,0,IF(OR(R158=0,Q158=0),"N.M.",IF(ABS(S158/R158)&gt;=10,"N.M.",S158/R158))))</f>
        <v>0</v>
      </c>
      <c r="U158" s="146"/>
      <c r="V158" s="143">
        <v>0</v>
      </c>
      <c r="W158" s="143">
        <v>-18.23</v>
      </c>
      <c r="X158" s="144">
        <f>+V158-W158</f>
        <v>18.23</v>
      </c>
      <c r="Y158" s="145" t="str">
        <f>IF(W158&lt;0,IF(X158=0,0,IF(OR(W158=0,V158=0),"N.M.",IF(ABS(X158/W158)&gt;=10,"N.M.",X158/(-W158)))),IF(X158=0,0,IF(OR(W158=0,V158=0),"N.M.",IF(ABS(X158/W158)&gt;=10,"N.M.",X158/W158))))</f>
        <v>N.M.</v>
      </c>
      <c r="Z158" s="148"/>
      <c r="AA158" s="149">
        <v>0</v>
      </c>
      <c r="AB158" s="150"/>
      <c r="AC158" s="117">
        <v>0</v>
      </c>
      <c r="AD158" s="117">
        <v>0</v>
      </c>
      <c r="AE158" s="117">
        <v>0</v>
      </c>
      <c r="AF158" s="117">
        <v>0</v>
      </c>
      <c r="AG158" s="117">
        <v>0</v>
      </c>
      <c r="AH158" s="117">
        <v>0</v>
      </c>
      <c r="AI158" s="117">
        <v>0</v>
      </c>
      <c r="AJ158" s="117">
        <v>0</v>
      </c>
      <c r="AK158" s="117">
        <v>0</v>
      </c>
      <c r="AL158" s="117">
        <v>0</v>
      </c>
      <c r="AM158" s="117">
        <v>0</v>
      </c>
      <c r="AN158" s="117">
        <v>0</v>
      </c>
      <c r="AO158" s="150"/>
      <c r="AP158" s="117">
        <v>0</v>
      </c>
      <c r="AQ158" s="117">
        <v>0</v>
      </c>
      <c r="AR158" s="117">
        <v>0</v>
      </c>
      <c r="AS158" s="117">
        <v>0</v>
      </c>
      <c r="AT158" s="117">
        <v>0</v>
      </c>
      <c r="AU158" s="117">
        <v>0</v>
      </c>
      <c r="AV158" s="117">
        <v>0</v>
      </c>
      <c r="AW158" s="117">
        <v>0</v>
      </c>
      <c r="AX158" s="117">
        <v>0</v>
      </c>
      <c r="AY158" s="117">
        <v>0</v>
      </c>
      <c r="AZ158" s="117">
        <v>0</v>
      </c>
      <c r="BA158" s="117">
        <v>0</v>
      </c>
    </row>
    <row r="159" spans="1:53" s="211" customFormat="1" outlineLevel="1" x14ac:dyDescent="0.25">
      <c r="A159" s="211" t="s">
        <v>568</v>
      </c>
      <c r="B159" s="212"/>
      <c r="C159" s="213" t="s">
        <v>569</v>
      </c>
      <c r="D159" s="229"/>
      <c r="E159" s="229"/>
      <c r="F159" s="215">
        <v>0</v>
      </c>
      <c r="G159" s="215">
        <v>0</v>
      </c>
      <c r="H159" s="236">
        <f>+F159-G159</f>
        <v>0</v>
      </c>
      <c r="I159" s="237">
        <f>IF(G159&lt;0,IF(H159=0,0,IF(OR(G159=0,F159=0),"N.M.",IF(ABS(H159/G159)&gt;=10,"N.M.",H159/(-G159)))),IF(H159=0,0,IF(OR(G159=0,F159=0),"N.M.",IF(ABS(H159/G159)&gt;=10,"N.M.",H159/G159))))</f>
        <v>0</v>
      </c>
      <c r="J159" s="231"/>
      <c r="K159" s="215">
        <v>0</v>
      </c>
      <c r="L159" s="215">
        <v>0</v>
      </c>
      <c r="M159" s="236">
        <f>+K159-L159</f>
        <v>0</v>
      </c>
      <c r="N159" s="232">
        <f>IF(L159&lt;0,IF(M159=0,0,IF(OR(L159=0,K159=0),"N.M.",IF(ABS(M159/L159)&gt;=10,"N.M.",M159/(-L159)))),IF(M159=0,0,IF(OR(L159=0,K159=0),"N.M.",IF(ABS(M159/L159)&gt;=10,"N.M.",M159/L159))))</f>
        <v>0</v>
      </c>
      <c r="O159" s="233"/>
      <c r="P159" s="233"/>
      <c r="Q159" s="215">
        <v>0</v>
      </c>
      <c r="R159" s="215">
        <v>0</v>
      </c>
      <c r="S159" s="236">
        <f>+Q159-R159</f>
        <v>0</v>
      </c>
      <c r="T159" s="237">
        <f>IF(R159&lt;0,IF(S159=0,0,IF(OR(R159=0,Q159=0),"N.M.",IF(ABS(S159/R159)&gt;=10,"N.M.",S159/(-R159)))),IF(S159=0,0,IF(OR(R159=0,Q159=0),"N.M.",IF(ABS(S159/R159)&gt;=10,"N.M.",S159/R159))))</f>
        <v>0</v>
      </c>
      <c r="U159" s="233"/>
      <c r="V159" s="215">
        <v>0</v>
      </c>
      <c r="W159" s="215">
        <v>-18.23</v>
      </c>
      <c r="X159" s="236">
        <f>+V159-W159</f>
        <v>18.23</v>
      </c>
      <c r="Y159" s="232" t="str">
        <f>IF(W159&lt;0,IF(X159=0,0,IF(OR(W159=0,V159=0),"N.M.",IF(ABS(X159/W159)&gt;=10,"N.M.",X159/(-W159)))),IF(X159=0,0,IF(OR(W159=0,V159=0),"N.M.",IF(ABS(X159/W159)&gt;=10,"N.M.",X159/W159))))</f>
        <v>N.M.</v>
      </c>
      <c r="AA159" s="215">
        <v>0</v>
      </c>
      <c r="AB159" s="235"/>
      <c r="AC159" s="215">
        <v>0</v>
      </c>
      <c r="AD159" s="215">
        <v>0</v>
      </c>
      <c r="AE159" s="215">
        <v>0</v>
      </c>
      <c r="AF159" s="215">
        <v>0</v>
      </c>
      <c r="AG159" s="215">
        <v>0</v>
      </c>
      <c r="AH159" s="215">
        <v>0</v>
      </c>
      <c r="AI159" s="215">
        <v>0</v>
      </c>
      <c r="AJ159" s="215">
        <v>0</v>
      </c>
      <c r="AK159" s="215">
        <v>0</v>
      </c>
      <c r="AL159" s="215">
        <v>0</v>
      </c>
      <c r="AM159" s="215">
        <v>0</v>
      </c>
      <c r="AN159" s="215">
        <v>0</v>
      </c>
      <c r="AO159" s="235"/>
      <c r="AP159" s="215">
        <v>0</v>
      </c>
      <c r="AQ159" s="215">
        <v>0</v>
      </c>
      <c r="AR159" s="215">
        <v>0</v>
      </c>
      <c r="AS159" s="215">
        <v>0</v>
      </c>
      <c r="AT159" s="215">
        <v>0</v>
      </c>
      <c r="AU159" s="215">
        <v>0</v>
      </c>
      <c r="AV159" s="215">
        <v>0</v>
      </c>
      <c r="AW159" s="215">
        <v>0</v>
      </c>
      <c r="AX159" s="215">
        <v>0</v>
      </c>
      <c r="AY159" s="215">
        <v>0</v>
      </c>
      <c r="AZ159" s="215">
        <v>0</v>
      </c>
      <c r="BA159" s="215">
        <v>0</v>
      </c>
    </row>
    <row r="160" spans="1:53" s="211" customFormat="1" ht="0.75" customHeight="1" outlineLevel="2" x14ac:dyDescent="0.25">
      <c r="B160" s="212"/>
      <c r="C160" s="213"/>
      <c r="D160" s="229"/>
      <c r="E160" s="229"/>
      <c r="F160" s="215"/>
      <c r="G160" s="215"/>
      <c r="H160" s="236"/>
      <c r="I160" s="237"/>
      <c r="J160" s="231"/>
      <c r="K160" s="215"/>
      <c r="L160" s="215"/>
      <c r="M160" s="236"/>
      <c r="N160" s="232"/>
      <c r="O160" s="233"/>
      <c r="P160" s="233"/>
      <c r="Q160" s="215"/>
      <c r="R160" s="215"/>
      <c r="S160" s="236"/>
      <c r="T160" s="237"/>
      <c r="U160" s="233"/>
      <c r="V160" s="215"/>
      <c r="W160" s="215"/>
      <c r="X160" s="236"/>
      <c r="Y160" s="232"/>
      <c r="AA160" s="215"/>
      <c r="AB160" s="23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3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</row>
    <row r="161" spans="1:53" s="138" customFormat="1" outlineLevel="2" x14ac:dyDescent="0.25">
      <c r="A161" s="138" t="s">
        <v>570</v>
      </c>
      <c r="B161" s="139" t="s">
        <v>571</v>
      </c>
      <c r="C161" s="140" t="s">
        <v>572</v>
      </c>
      <c r="D161" s="141"/>
      <c r="E161" s="142"/>
      <c r="F161" s="143">
        <v>3.98</v>
      </c>
      <c r="G161" s="143">
        <v>0</v>
      </c>
      <c r="H161" s="144">
        <f t="shared" ref="H161:H198" si="34">+F161-G161</f>
        <v>3.98</v>
      </c>
      <c r="I161" s="145" t="str">
        <f t="shared" ref="I161:I198" si="35">IF(G161&lt;0,IF(H161=0,0,IF(OR(G161=0,F161=0),"N.M.",IF(ABS(H161/G161)&gt;=10,"N.M.",H161/(-G161)))),IF(H161=0,0,IF(OR(G161=0,F161=0),"N.M.",IF(ABS(H161/G161)&gt;=10,"N.M.",H161/G161))))</f>
        <v>N.M.</v>
      </c>
      <c r="J161" s="146"/>
      <c r="K161" s="143">
        <v>3.98</v>
      </c>
      <c r="L161" s="143">
        <v>0</v>
      </c>
      <c r="M161" s="144">
        <f t="shared" ref="M161:M198" si="36">+K161-L161</f>
        <v>3.98</v>
      </c>
      <c r="N161" s="145" t="str">
        <f t="shared" ref="N161:N198" si="37">IF(L161&lt;0,IF(M161=0,0,IF(OR(L161=0,K161=0),"N.M.",IF(ABS(M161/L161)&gt;=10,"N.M.",M161/(-L161)))),IF(M161=0,0,IF(OR(L161=0,K161=0),"N.M.",IF(ABS(M161/L161)&gt;=10,"N.M.",M161/L161))))</f>
        <v>N.M.</v>
      </c>
      <c r="O161" s="147"/>
      <c r="P161" s="146"/>
      <c r="Q161" s="143">
        <v>3.98</v>
      </c>
      <c r="R161" s="143">
        <v>-0.88</v>
      </c>
      <c r="S161" s="144">
        <f t="shared" ref="S161:S198" si="38">+Q161-R161</f>
        <v>4.8600000000000003</v>
      </c>
      <c r="T161" s="145">
        <f t="shared" ref="T161:T198" si="39">IF(R161&lt;0,IF(S161=0,0,IF(OR(R161=0,Q161=0),"N.M.",IF(ABS(S161/R161)&gt;=10,"N.M.",S161/(-R161)))),IF(S161=0,0,IF(OR(R161=0,Q161=0),"N.M.",IF(ABS(S161/R161)&gt;=10,"N.M.",S161/R161))))</f>
        <v>5.5227272727272734</v>
      </c>
      <c r="U161" s="146"/>
      <c r="V161" s="143">
        <v>3.98</v>
      </c>
      <c r="W161" s="143">
        <v>-137.76</v>
      </c>
      <c r="X161" s="144">
        <f t="shared" ref="X161:X198" si="40">+V161-W161</f>
        <v>141.73999999999998</v>
      </c>
      <c r="Y161" s="145">
        <f t="shared" ref="Y161:Y198" si="41">IF(W161&lt;0,IF(X161=0,0,IF(OR(W161=0,V161=0),"N.M.",IF(ABS(X161/W161)&gt;=10,"N.M.",X161/(-W161)))),IF(X161=0,0,IF(OR(W161=0,V161=0),"N.M.",IF(ABS(X161/W161)&gt;=10,"N.M.",X161/W161))))</f>
        <v>1.0288908246225319</v>
      </c>
      <c r="Z161" s="148"/>
      <c r="AA161" s="149">
        <v>-0.88</v>
      </c>
      <c r="AB161" s="150"/>
      <c r="AC161" s="117">
        <v>0</v>
      </c>
      <c r="AD161" s="117">
        <v>0</v>
      </c>
      <c r="AE161" s="117">
        <v>0</v>
      </c>
      <c r="AF161" s="117">
        <v>0.26</v>
      </c>
      <c r="AG161" s="117">
        <v>-0.26</v>
      </c>
      <c r="AH161" s="117">
        <v>1.6</v>
      </c>
      <c r="AI161" s="117">
        <v>1.26</v>
      </c>
      <c r="AJ161" s="117">
        <v>4</v>
      </c>
      <c r="AK161" s="117">
        <v>0.32</v>
      </c>
      <c r="AL161" s="117">
        <v>-5.5600000000000005</v>
      </c>
      <c r="AM161" s="117">
        <v>-1.62</v>
      </c>
      <c r="AN161" s="117">
        <v>0</v>
      </c>
      <c r="AO161" s="150"/>
      <c r="AP161" s="117">
        <v>0</v>
      </c>
      <c r="AQ161" s="117">
        <v>3.98</v>
      </c>
      <c r="AR161" s="117">
        <v>0</v>
      </c>
      <c r="AS161" s="117">
        <v>0</v>
      </c>
      <c r="AT161" s="117">
        <v>0</v>
      </c>
      <c r="AU161" s="117">
        <v>0</v>
      </c>
      <c r="AV161" s="117">
        <v>0</v>
      </c>
      <c r="AW161" s="117">
        <v>0</v>
      </c>
      <c r="AX161" s="117">
        <v>0</v>
      </c>
      <c r="AY161" s="117">
        <v>0</v>
      </c>
      <c r="AZ161" s="117">
        <v>0</v>
      </c>
      <c r="BA161" s="117">
        <v>0</v>
      </c>
    </row>
    <row r="162" spans="1:53" s="138" customFormat="1" outlineLevel="2" x14ac:dyDescent="0.25">
      <c r="A162" s="138" t="s">
        <v>573</v>
      </c>
      <c r="B162" s="139" t="s">
        <v>574</v>
      </c>
      <c r="C162" s="140" t="s">
        <v>575</v>
      </c>
      <c r="D162" s="141"/>
      <c r="E162" s="142"/>
      <c r="F162" s="143">
        <v>4253219.24</v>
      </c>
      <c r="G162" s="143">
        <v>1983354.94</v>
      </c>
      <c r="H162" s="144">
        <f t="shared" si="34"/>
        <v>2269864.3000000003</v>
      </c>
      <c r="I162" s="145">
        <f t="shared" si="35"/>
        <v>1.1444569271095775</v>
      </c>
      <c r="J162" s="146"/>
      <c r="K162" s="143">
        <v>9245083.0099999998</v>
      </c>
      <c r="L162" s="143">
        <v>7588217.0199999996</v>
      </c>
      <c r="M162" s="144">
        <f t="shared" si="36"/>
        <v>1656865.9900000002</v>
      </c>
      <c r="N162" s="145">
        <f t="shared" si="37"/>
        <v>0.21834720668018009</v>
      </c>
      <c r="O162" s="147"/>
      <c r="P162" s="146"/>
      <c r="Q162" s="143">
        <v>11580424.98</v>
      </c>
      <c r="R162" s="143">
        <v>12468592.879999999</v>
      </c>
      <c r="S162" s="144">
        <f t="shared" si="38"/>
        <v>-888167.89999999851</v>
      </c>
      <c r="T162" s="145">
        <f t="shared" si="39"/>
        <v>-7.1232408383839901E-2</v>
      </c>
      <c r="U162" s="146"/>
      <c r="V162" s="143">
        <v>33206889.32</v>
      </c>
      <c r="W162" s="143">
        <v>29011400.090999998</v>
      </c>
      <c r="X162" s="144">
        <f t="shared" si="40"/>
        <v>4195489.2290000021</v>
      </c>
      <c r="Y162" s="145">
        <f t="shared" si="41"/>
        <v>0.14461519319440014</v>
      </c>
      <c r="Z162" s="148"/>
      <c r="AA162" s="149">
        <v>4880375.8600000003</v>
      </c>
      <c r="AB162" s="150"/>
      <c r="AC162" s="117">
        <v>5604862.0800000001</v>
      </c>
      <c r="AD162" s="117">
        <v>1983354.94</v>
      </c>
      <c r="AE162" s="117">
        <v>3245647.17</v>
      </c>
      <c r="AF162" s="117">
        <v>3251507.04</v>
      </c>
      <c r="AG162" s="117">
        <v>3433895.95</v>
      </c>
      <c r="AH162" s="117">
        <v>548520.19999999995</v>
      </c>
      <c r="AI162" s="117">
        <v>310427.22000000003</v>
      </c>
      <c r="AJ162" s="117">
        <v>1230005.77</v>
      </c>
      <c r="AK162" s="117">
        <v>3644468.75</v>
      </c>
      <c r="AL162" s="117">
        <v>5569813.7699999996</v>
      </c>
      <c r="AM162" s="117">
        <v>392178.47000000003</v>
      </c>
      <c r="AN162" s="117">
        <v>2335341.9700000002</v>
      </c>
      <c r="AO162" s="150"/>
      <c r="AP162" s="117">
        <v>4991863.7699999996</v>
      </c>
      <c r="AQ162" s="117">
        <v>4253219.24</v>
      </c>
      <c r="AR162" s="117">
        <v>-4221465.96</v>
      </c>
      <c r="AS162" s="117">
        <v>0</v>
      </c>
      <c r="AT162" s="117">
        <v>0</v>
      </c>
      <c r="AU162" s="117">
        <v>0</v>
      </c>
      <c r="AV162" s="117">
        <v>0</v>
      </c>
      <c r="AW162" s="117">
        <v>0</v>
      </c>
      <c r="AX162" s="117">
        <v>0</v>
      </c>
      <c r="AY162" s="117">
        <v>0</v>
      </c>
      <c r="AZ162" s="117">
        <v>0</v>
      </c>
      <c r="BA162" s="117">
        <v>0</v>
      </c>
    </row>
    <row r="163" spans="1:53" s="138" customFormat="1" outlineLevel="2" x14ac:dyDescent="0.25">
      <c r="A163" s="138" t="s">
        <v>576</v>
      </c>
      <c r="B163" s="139" t="s">
        <v>577</v>
      </c>
      <c r="C163" s="140" t="s">
        <v>578</v>
      </c>
      <c r="D163" s="141"/>
      <c r="E163" s="142"/>
      <c r="F163" s="143">
        <v>-8111.05</v>
      </c>
      <c r="G163" s="143">
        <v>0</v>
      </c>
      <c r="H163" s="144">
        <f t="shared" si="34"/>
        <v>-8111.05</v>
      </c>
      <c r="I163" s="145" t="str">
        <f t="shared" si="35"/>
        <v>N.M.</v>
      </c>
      <c r="J163" s="146"/>
      <c r="K163" s="143">
        <v>0</v>
      </c>
      <c r="L163" s="143">
        <v>0</v>
      </c>
      <c r="M163" s="144">
        <f t="shared" si="36"/>
        <v>0</v>
      </c>
      <c r="N163" s="145">
        <f t="shared" si="37"/>
        <v>0</v>
      </c>
      <c r="O163" s="147"/>
      <c r="P163" s="146"/>
      <c r="Q163" s="143">
        <v>6532.55</v>
      </c>
      <c r="R163" s="143">
        <v>0</v>
      </c>
      <c r="S163" s="144">
        <f t="shared" si="38"/>
        <v>6532.55</v>
      </c>
      <c r="T163" s="145" t="str">
        <f t="shared" si="39"/>
        <v>N.M.</v>
      </c>
      <c r="U163" s="146"/>
      <c r="V163" s="143">
        <v>45135.32</v>
      </c>
      <c r="W163" s="143">
        <v>0</v>
      </c>
      <c r="X163" s="144">
        <f t="shared" si="40"/>
        <v>45135.32</v>
      </c>
      <c r="Y163" s="145" t="str">
        <f t="shared" si="41"/>
        <v>N.M.</v>
      </c>
      <c r="Z163" s="148"/>
      <c r="AA163" s="149">
        <v>0</v>
      </c>
      <c r="AB163" s="150"/>
      <c r="AC163" s="117">
        <v>0</v>
      </c>
      <c r="AD163" s="117">
        <v>0</v>
      </c>
      <c r="AE163" s="117">
        <v>0</v>
      </c>
      <c r="AF163" s="117">
        <v>0</v>
      </c>
      <c r="AG163" s="117">
        <v>0</v>
      </c>
      <c r="AH163" s="117">
        <v>0</v>
      </c>
      <c r="AI163" s="117">
        <v>12471.630000000001</v>
      </c>
      <c r="AJ163" s="117">
        <v>7149.71</v>
      </c>
      <c r="AK163" s="117">
        <v>6127.05</v>
      </c>
      <c r="AL163" s="117">
        <v>6532.56</v>
      </c>
      <c r="AM163" s="117">
        <v>6321.82</v>
      </c>
      <c r="AN163" s="117">
        <v>6532.55</v>
      </c>
      <c r="AO163" s="150"/>
      <c r="AP163" s="117">
        <v>8111.05</v>
      </c>
      <c r="AQ163" s="117">
        <v>-8111.05</v>
      </c>
      <c r="AR163" s="117">
        <v>0</v>
      </c>
      <c r="AS163" s="117">
        <v>0</v>
      </c>
      <c r="AT163" s="117">
        <v>0</v>
      </c>
      <c r="AU163" s="117">
        <v>0</v>
      </c>
      <c r="AV163" s="117">
        <v>0</v>
      </c>
      <c r="AW163" s="117">
        <v>0</v>
      </c>
      <c r="AX163" s="117">
        <v>0</v>
      </c>
      <c r="AY163" s="117">
        <v>0</v>
      </c>
      <c r="AZ163" s="117">
        <v>0</v>
      </c>
      <c r="BA163" s="117">
        <v>0</v>
      </c>
    </row>
    <row r="164" spans="1:53" s="138" customFormat="1" outlineLevel="2" x14ac:dyDescent="0.25">
      <c r="A164" s="138" t="s">
        <v>579</v>
      </c>
      <c r="B164" s="139" t="s">
        <v>580</v>
      </c>
      <c r="C164" s="140" t="s">
        <v>581</v>
      </c>
      <c r="D164" s="141"/>
      <c r="E164" s="142"/>
      <c r="F164" s="143">
        <v>4373243</v>
      </c>
      <c r="G164" s="143">
        <v>4496897</v>
      </c>
      <c r="H164" s="144">
        <f t="shared" si="34"/>
        <v>-123654</v>
      </c>
      <c r="I164" s="145">
        <f t="shared" si="35"/>
        <v>-2.7497627808686746E-2</v>
      </c>
      <c r="J164" s="146"/>
      <c r="K164" s="143">
        <v>8787121</v>
      </c>
      <c r="L164" s="143">
        <v>9169493</v>
      </c>
      <c r="M164" s="144">
        <f t="shared" si="36"/>
        <v>-382372</v>
      </c>
      <c r="N164" s="145">
        <f t="shared" si="37"/>
        <v>-4.1700451704363588E-2</v>
      </c>
      <c r="O164" s="147"/>
      <c r="P164" s="146"/>
      <c r="Q164" s="143">
        <v>13399727</v>
      </c>
      <c r="R164" s="143">
        <v>14607968</v>
      </c>
      <c r="S164" s="144">
        <f t="shared" si="38"/>
        <v>-1208241</v>
      </c>
      <c r="T164" s="145">
        <f t="shared" si="39"/>
        <v>-8.271109301444253E-2</v>
      </c>
      <c r="U164" s="146"/>
      <c r="V164" s="143">
        <v>51785042</v>
      </c>
      <c r="W164" s="143">
        <v>52845050</v>
      </c>
      <c r="X164" s="144">
        <f t="shared" si="40"/>
        <v>-1060008</v>
      </c>
      <c r="Y164" s="145">
        <f t="shared" si="41"/>
        <v>-2.005879453231665E-2</v>
      </c>
      <c r="Z164" s="148"/>
      <c r="AA164" s="149">
        <v>5438475</v>
      </c>
      <c r="AB164" s="150"/>
      <c r="AC164" s="117">
        <v>4672596</v>
      </c>
      <c r="AD164" s="117">
        <v>4496897</v>
      </c>
      <c r="AE164" s="117">
        <v>3978353</v>
      </c>
      <c r="AF164" s="117">
        <v>3883926</v>
      </c>
      <c r="AG164" s="117">
        <v>4319824</v>
      </c>
      <c r="AH164" s="117">
        <v>4436833</v>
      </c>
      <c r="AI164" s="117">
        <v>4365765</v>
      </c>
      <c r="AJ164" s="117">
        <v>4378507</v>
      </c>
      <c r="AK164" s="117">
        <v>4504358</v>
      </c>
      <c r="AL164" s="117">
        <v>4249346</v>
      </c>
      <c r="AM164" s="117">
        <v>4268403</v>
      </c>
      <c r="AN164" s="117">
        <v>4612606</v>
      </c>
      <c r="AO164" s="150"/>
      <c r="AP164" s="117">
        <v>4413878</v>
      </c>
      <c r="AQ164" s="117">
        <v>4373243</v>
      </c>
      <c r="AR164" s="117">
        <v>0</v>
      </c>
      <c r="AS164" s="117">
        <v>0</v>
      </c>
      <c r="AT164" s="117">
        <v>0</v>
      </c>
      <c r="AU164" s="117">
        <v>0</v>
      </c>
      <c r="AV164" s="117">
        <v>0</v>
      </c>
      <c r="AW164" s="117">
        <v>0</v>
      </c>
      <c r="AX164" s="117">
        <v>0</v>
      </c>
      <c r="AY164" s="117">
        <v>0</v>
      </c>
      <c r="AZ164" s="117">
        <v>0</v>
      </c>
      <c r="BA164" s="117">
        <v>0</v>
      </c>
    </row>
    <row r="165" spans="1:53" s="138" customFormat="1" outlineLevel="2" x14ac:dyDescent="0.25">
      <c r="A165" s="138" t="s">
        <v>582</v>
      </c>
      <c r="B165" s="139" t="s">
        <v>583</v>
      </c>
      <c r="C165" s="140" t="s">
        <v>584</v>
      </c>
      <c r="D165" s="141"/>
      <c r="E165" s="142"/>
      <c r="F165" s="143">
        <v>0</v>
      </c>
      <c r="G165" s="143">
        <v>0</v>
      </c>
      <c r="H165" s="144">
        <f t="shared" si="34"/>
        <v>0</v>
      </c>
      <c r="I165" s="145">
        <f t="shared" si="35"/>
        <v>0</v>
      </c>
      <c r="J165" s="146"/>
      <c r="K165" s="143">
        <v>0</v>
      </c>
      <c r="L165" s="143">
        <v>0</v>
      </c>
      <c r="M165" s="144">
        <f t="shared" si="36"/>
        <v>0</v>
      </c>
      <c r="N165" s="145">
        <f t="shared" si="37"/>
        <v>0</v>
      </c>
      <c r="O165" s="147"/>
      <c r="P165" s="146"/>
      <c r="Q165" s="143">
        <v>0</v>
      </c>
      <c r="R165" s="143">
        <v>0</v>
      </c>
      <c r="S165" s="144">
        <f t="shared" si="38"/>
        <v>0</v>
      </c>
      <c r="T165" s="145">
        <f t="shared" si="39"/>
        <v>0</v>
      </c>
      <c r="U165" s="146"/>
      <c r="V165" s="143">
        <v>0</v>
      </c>
      <c r="W165" s="143">
        <v>0</v>
      </c>
      <c r="X165" s="144">
        <f t="shared" si="40"/>
        <v>0</v>
      </c>
      <c r="Y165" s="145">
        <f t="shared" si="41"/>
        <v>0</v>
      </c>
      <c r="Z165" s="148"/>
      <c r="AA165" s="149">
        <v>0</v>
      </c>
      <c r="AB165" s="150"/>
      <c r="AC165" s="117">
        <v>0</v>
      </c>
      <c r="AD165" s="117">
        <v>0</v>
      </c>
      <c r="AE165" s="117">
        <v>0</v>
      </c>
      <c r="AF165" s="117">
        <v>0</v>
      </c>
      <c r="AG165" s="117">
        <v>0</v>
      </c>
      <c r="AH165" s="117">
        <v>0</v>
      </c>
      <c r="AI165" s="117">
        <v>0</v>
      </c>
      <c r="AJ165" s="117">
        <v>0</v>
      </c>
      <c r="AK165" s="117">
        <v>0</v>
      </c>
      <c r="AL165" s="117">
        <v>0</v>
      </c>
      <c r="AM165" s="117">
        <v>0</v>
      </c>
      <c r="AN165" s="117">
        <v>0</v>
      </c>
      <c r="AO165" s="150"/>
      <c r="AP165" s="117">
        <v>0</v>
      </c>
      <c r="AQ165" s="117">
        <v>0</v>
      </c>
      <c r="AR165" s="117">
        <v>63189332.890000001</v>
      </c>
      <c r="AS165" s="117">
        <v>0</v>
      </c>
      <c r="AT165" s="117">
        <v>0</v>
      </c>
      <c r="AU165" s="117">
        <v>0</v>
      </c>
      <c r="AV165" s="117">
        <v>0</v>
      </c>
      <c r="AW165" s="117">
        <v>0</v>
      </c>
      <c r="AX165" s="117">
        <v>0</v>
      </c>
      <c r="AY165" s="117">
        <v>0</v>
      </c>
      <c r="AZ165" s="117">
        <v>0</v>
      </c>
      <c r="BA165" s="117">
        <v>0</v>
      </c>
    </row>
    <row r="166" spans="1:53" s="138" customFormat="1" outlineLevel="2" x14ac:dyDescent="0.25">
      <c r="A166" s="138" t="s">
        <v>585</v>
      </c>
      <c r="B166" s="139" t="s">
        <v>586</v>
      </c>
      <c r="C166" s="140" t="s">
        <v>587</v>
      </c>
      <c r="D166" s="141"/>
      <c r="E166" s="142"/>
      <c r="F166" s="143">
        <v>0</v>
      </c>
      <c r="G166" s="143">
        <v>0</v>
      </c>
      <c r="H166" s="144">
        <f t="shared" si="34"/>
        <v>0</v>
      </c>
      <c r="I166" s="145">
        <f t="shared" si="35"/>
        <v>0</v>
      </c>
      <c r="J166" s="146"/>
      <c r="K166" s="143">
        <v>-11.92</v>
      </c>
      <c r="L166" s="143">
        <v>-17.29</v>
      </c>
      <c r="M166" s="144">
        <f t="shared" si="36"/>
        <v>5.3699999999999992</v>
      </c>
      <c r="N166" s="145">
        <f t="shared" si="37"/>
        <v>0.3105841526894158</v>
      </c>
      <c r="O166" s="147"/>
      <c r="P166" s="146"/>
      <c r="Q166" s="143">
        <v>-5.0599999999999996</v>
      </c>
      <c r="R166" s="143">
        <v>-18.11</v>
      </c>
      <c r="S166" s="144">
        <f t="shared" si="38"/>
        <v>13.05</v>
      </c>
      <c r="T166" s="145">
        <f t="shared" si="39"/>
        <v>0.72059635560463842</v>
      </c>
      <c r="U166" s="146"/>
      <c r="V166" s="143">
        <v>0</v>
      </c>
      <c r="W166" s="143">
        <v>350.88</v>
      </c>
      <c r="X166" s="144">
        <f t="shared" si="40"/>
        <v>-350.88</v>
      </c>
      <c r="Y166" s="145" t="str">
        <f t="shared" si="41"/>
        <v>N.M.</v>
      </c>
      <c r="Z166" s="148"/>
      <c r="AA166" s="149">
        <v>-0.82000000000000006</v>
      </c>
      <c r="AB166" s="150"/>
      <c r="AC166" s="117">
        <v>-17.29</v>
      </c>
      <c r="AD166" s="117">
        <v>0</v>
      </c>
      <c r="AE166" s="117">
        <v>5.01</v>
      </c>
      <c r="AF166" s="117">
        <v>-5.01</v>
      </c>
      <c r="AG166" s="117">
        <v>0</v>
      </c>
      <c r="AH166" s="117">
        <v>0</v>
      </c>
      <c r="AI166" s="117">
        <v>0</v>
      </c>
      <c r="AJ166" s="117">
        <v>0</v>
      </c>
      <c r="AK166" s="117">
        <v>0</v>
      </c>
      <c r="AL166" s="117">
        <v>0</v>
      </c>
      <c r="AM166" s="117">
        <v>5.0600000000000005</v>
      </c>
      <c r="AN166" s="117">
        <v>6.86</v>
      </c>
      <c r="AO166" s="150"/>
      <c r="AP166" s="117">
        <v>-11.92</v>
      </c>
      <c r="AQ166" s="117">
        <v>0</v>
      </c>
      <c r="AR166" s="117">
        <v>0</v>
      </c>
      <c r="AS166" s="117">
        <v>0</v>
      </c>
      <c r="AT166" s="117">
        <v>0</v>
      </c>
      <c r="AU166" s="117">
        <v>0</v>
      </c>
      <c r="AV166" s="117">
        <v>0</v>
      </c>
      <c r="AW166" s="117">
        <v>0</v>
      </c>
      <c r="AX166" s="117">
        <v>0</v>
      </c>
      <c r="AY166" s="117">
        <v>0</v>
      </c>
      <c r="AZ166" s="117">
        <v>0</v>
      </c>
      <c r="BA166" s="117">
        <v>0</v>
      </c>
    </row>
    <row r="167" spans="1:53" s="138" customFormat="1" outlineLevel="2" x14ac:dyDescent="0.25">
      <c r="A167" s="138" t="s">
        <v>588</v>
      </c>
      <c r="B167" s="139" t="s">
        <v>589</v>
      </c>
      <c r="C167" s="140" t="s">
        <v>590</v>
      </c>
      <c r="D167" s="141"/>
      <c r="E167" s="142"/>
      <c r="F167" s="143">
        <v>-82.61</v>
      </c>
      <c r="G167" s="143">
        <v>193</v>
      </c>
      <c r="H167" s="144">
        <f t="shared" si="34"/>
        <v>-275.61</v>
      </c>
      <c r="I167" s="145">
        <f t="shared" si="35"/>
        <v>-1.4280310880829017</v>
      </c>
      <c r="J167" s="146"/>
      <c r="K167" s="143">
        <v>-903.83</v>
      </c>
      <c r="L167" s="143">
        <v>292.57</v>
      </c>
      <c r="M167" s="144">
        <f t="shared" si="36"/>
        <v>-1196.4000000000001</v>
      </c>
      <c r="N167" s="145">
        <f t="shared" si="37"/>
        <v>-4.0892777796766593</v>
      </c>
      <c r="O167" s="147"/>
      <c r="P167" s="146"/>
      <c r="Q167" s="143">
        <v>-3611.05</v>
      </c>
      <c r="R167" s="143">
        <v>276.25</v>
      </c>
      <c r="S167" s="144">
        <f t="shared" si="38"/>
        <v>-3887.3</v>
      </c>
      <c r="T167" s="145" t="str">
        <f t="shared" si="39"/>
        <v>N.M.</v>
      </c>
      <c r="U167" s="146"/>
      <c r="V167" s="143">
        <v>-17734.060000000001</v>
      </c>
      <c r="W167" s="143">
        <v>-1105.18</v>
      </c>
      <c r="X167" s="144">
        <f t="shared" si="40"/>
        <v>-16628.88</v>
      </c>
      <c r="Y167" s="145" t="str">
        <f t="shared" si="41"/>
        <v>N.M.</v>
      </c>
      <c r="Z167" s="148"/>
      <c r="AA167" s="149">
        <v>-16.32</v>
      </c>
      <c r="AB167" s="150"/>
      <c r="AC167" s="117">
        <v>99.570000000000007</v>
      </c>
      <c r="AD167" s="117">
        <v>193</v>
      </c>
      <c r="AE167" s="117">
        <v>-59.69</v>
      </c>
      <c r="AF167" s="117">
        <v>74.03</v>
      </c>
      <c r="AG167" s="117">
        <v>-476</v>
      </c>
      <c r="AH167" s="117">
        <v>-526.09</v>
      </c>
      <c r="AI167" s="117">
        <v>-1966.67</v>
      </c>
      <c r="AJ167" s="117">
        <v>-2125.38</v>
      </c>
      <c r="AK167" s="117">
        <v>-553.1</v>
      </c>
      <c r="AL167" s="117">
        <v>-3854.9900000000002</v>
      </c>
      <c r="AM167" s="117">
        <v>-4635.12</v>
      </c>
      <c r="AN167" s="117">
        <v>-2707.2200000000003</v>
      </c>
      <c r="AO167" s="150"/>
      <c r="AP167" s="117">
        <v>-821.22</v>
      </c>
      <c r="AQ167" s="117">
        <v>-82.61</v>
      </c>
      <c r="AR167" s="117">
        <v>0</v>
      </c>
      <c r="AS167" s="117">
        <v>0</v>
      </c>
      <c r="AT167" s="117">
        <v>0</v>
      </c>
      <c r="AU167" s="117">
        <v>0</v>
      </c>
      <c r="AV167" s="117">
        <v>0</v>
      </c>
      <c r="AW167" s="117">
        <v>0</v>
      </c>
      <c r="AX167" s="117">
        <v>0</v>
      </c>
      <c r="AY167" s="117">
        <v>0</v>
      </c>
      <c r="AZ167" s="117">
        <v>0</v>
      </c>
      <c r="BA167" s="117">
        <v>0</v>
      </c>
    </row>
    <row r="168" spans="1:53" s="138" customFormat="1" outlineLevel="2" x14ac:dyDescent="0.25">
      <c r="A168" s="138" t="s">
        <v>591</v>
      </c>
      <c r="B168" s="139" t="s">
        <v>592</v>
      </c>
      <c r="C168" s="140" t="s">
        <v>593</v>
      </c>
      <c r="D168" s="141"/>
      <c r="E168" s="142"/>
      <c r="F168" s="143">
        <v>-270.38</v>
      </c>
      <c r="G168" s="143">
        <v>4633.5</v>
      </c>
      <c r="H168" s="144">
        <f t="shared" si="34"/>
        <v>-4903.88</v>
      </c>
      <c r="I168" s="145">
        <f t="shared" si="35"/>
        <v>-1.0583532966440057</v>
      </c>
      <c r="J168" s="146"/>
      <c r="K168" s="143">
        <v>-13425.52</v>
      </c>
      <c r="L168" s="143">
        <v>10275.44</v>
      </c>
      <c r="M168" s="144">
        <f t="shared" si="36"/>
        <v>-23700.959999999999</v>
      </c>
      <c r="N168" s="145">
        <f t="shared" si="37"/>
        <v>-2.3065640011522617</v>
      </c>
      <c r="O168" s="147"/>
      <c r="P168" s="146"/>
      <c r="Q168" s="143">
        <v>-25138.14</v>
      </c>
      <c r="R168" s="143">
        <v>9031.26</v>
      </c>
      <c r="S168" s="144">
        <f t="shared" si="38"/>
        <v>-34169.4</v>
      </c>
      <c r="T168" s="145">
        <f t="shared" si="39"/>
        <v>-3.7834587864816207</v>
      </c>
      <c r="U168" s="146"/>
      <c r="V168" s="143">
        <v>-78190.53</v>
      </c>
      <c r="W168" s="143">
        <v>5213.4400000000005</v>
      </c>
      <c r="X168" s="144">
        <f t="shared" si="40"/>
        <v>-83403.97</v>
      </c>
      <c r="Y168" s="145" t="str">
        <f t="shared" si="41"/>
        <v>N.M.</v>
      </c>
      <c r="Z168" s="148"/>
      <c r="AA168" s="149">
        <v>-1244.18</v>
      </c>
      <c r="AB168" s="150"/>
      <c r="AC168" s="117">
        <v>5641.9400000000005</v>
      </c>
      <c r="AD168" s="117">
        <v>4633.5</v>
      </c>
      <c r="AE168" s="117">
        <v>-1058.3399999999999</v>
      </c>
      <c r="AF168" s="117">
        <v>3538.51</v>
      </c>
      <c r="AG168" s="117">
        <v>-2254.09</v>
      </c>
      <c r="AH168" s="117">
        <v>-3085.05</v>
      </c>
      <c r="AI168" s="117">
        <v>-4417.93</v>
      </c>
      <c r="AJ168" s="117">
        <v>-6423.6</v>
      </c>
      <c r="AK168" s="117">
        <v>-8377.56</v>
      </c>
      <c r="AL168" s="117">
        <v>-23166.959999999999</v>
      </c>
      <c r="AM168" s="117">
        <v>-7807.37</v>
      </c>
      <c r="AN168" s="117">
        <v>-11712.62</v>
      </c>
      <c r="AO168" s="150"/>
      <c r="AP168" s="117">
        <v>-13155.14</v>
      </c>
      <c r="AQ168" s="117">
        <v>-270.38</v>
      </c>
      <c r="AR168" s="117">
        <v>0</v>
      </c>
      <c r="AS168" s="117">
        <v>0</v>
      </c>
      <c r="AT168" s="117">
        <v>0</v>
      </c>
      <c r="AU168" s="117">
        <v>0</v>
      </c>
      <c r="AV168" s="117">
        <v>0</v>
      </c>
      <c r="AW168" s="117">
        <v>0</v>
      </c>
      <c r="AX168" s="117">
        <v>0</v>
      </c>
      <c r="AY168" s="117">
        <v>0</v>
      </c>
      <c r="AZ168" s="117">
        <v>0</v>
      </c>
      <c r="BA168" s="117">
        <v>0</v>
      </c>
    </row>
    <row r="169" spans="1:53" s="138" customFormat="1" outlineLevel="2" x14ac:dyDescent="0.25">
      <c r="A169" s="138" t="s">
        <v>594</v>
      </c>
      <c r="B169" s="139" t="s">
        <v>595</v>
      </c>
      <c r="C169" s="140" t="s">
        <v>596</v>
      </c>
      <c r="D169" s="141"/>
      <c r="E169" s="142"/>
      <c r="F169" s="143">
        <v>0</v>
      </c>
      <c r="G169" s="143">
        <v>0</v>
      </c>
      <c r="H169" s="144">
        <f t="shared" si="34"/>
        <v>0</v>
      </c>
      <c r="I169" s="145">
        <f t="shared" si="35"/>
        <v>0</v>
      </c>
      <c r="J169" s="146"/>
      <c r="K169" s="143">
        <v>0</v>
      </c>
      <c r="L169" s="143">
        <v>0</v>
      </c>
      <c r="M169" s="144">
        <f t="shared" si="36"/>
        <v>0</v>
      </c>
      <c r="N169" s="145">
        <f t="shared" si="37"/>
        <v>0</v>
      </c>
      <c r="O169" s="147"/>
      <c r="P169" s="146"/>
      <c r="Q169" s="143">
        <v>-4.41</v>
      </c>
      <c r="R169" s="143">
        <v>0</v>
      </c>
      <c r="S169" s="144">
        <f t="shared" si="38"/>
        <v>-4.41</v>
      </c>
      <c r="T169" s="145" t="str">
        <f t="shared" si="39"/>
        <v>N.M.</v>
      </c>
      <c r="U169" s="146"/>
      <c r="V169" s="143">
        <v>0.28000000000000003</v>
      </c>
      <c r="W169" s="143">
        <v>213.84</v>
      </c>
      <c r="X169" s="144">
        <f t="shared" si="40"/>
        <v>-213.56</v>
      </c>
      <c r="Y169" s="145">
        <f t="shared" si="41"/>
        <v>-0.99869060980172086</v>
      </c>
      <c r="Z169" s="148"/>
      <c r="AA169" s="149">
        <v>0</v>
      </c>
      <c r="AB169" s="150"/>
      <c r="AC169" s="117">
        <v>0</v>
      </c>
      <c r="AD169" s="117">
        <v>0</v>
      </c>
      <c r="AE169" s="117">
        <v>0</v>
      </c>
      <c r="AF169" s="117">
        <v>0</v>
      </c>
      <c r="AG169" s="117">
        <v>0</v>
      </c>
      <c r="AH169" s="117">
        <v>0</v>
      </c>
      <c r="AI169" s="117">
        <v>0</v>
      </c>
      <c r="AJ169" s="117">
        <v>0.28000000000000003</v>
      </c>
      <c r="AK169" s="117">
        <v>0</v>
      </c>
      <c r="AL169" s="117">
        <v>0</v>
      </c>
      <c r="AM169" s="117">
        <v>4.41</v>
      </c>
      <c r="AN169" s="117">
        <v>-4.41</v>
      </c>
      <c r="AO169" s="150"/>
      <c r="AP169" s="117">
        <v>0</v>
      </c>
      <c r="AQ169" s="117">
        <v>0</v>
      </c>
      <c r="AR169" s="117">
        <v>0</v>
      </c>
      <c r="AS169" s="117">
        <v>0</v>
      </c>
      <c r="AT169" s="117">
        <v>0</v>
      </c>
      <c r="AU169" s="117">
        <v>0</v>
      </c>
      <c r="AV169" s="117">
        <v>0</v>
      </c>
      <c r="AW169" s="117">
        <v>0</v>
      </c>
      <c r="AX169" s="117">
        <v>0</v>
      </c>
      <c r="AY169" s="117">
        <v>0</v>
      </c>
      <c r="AZ169" s="117">
        <v>0</v>
      </c>
      <c r="BA169" s="117">
        <v>0</v>
      </c>
    </row>
    <row r="170" spans="1:53" s="138" customFormat="1" outlineLevel="2" x14ac:dyDescent="0.25">
      <c r="A170" s="138" t="s">
        <v>597</v>
      </c>
      <c r="B170" s="139" t="s">
        <v>598</v>
      </c>
      <c r="C170" s="140" t="s">
        <v>599</v>
      </c>
      <c r="D170" s="141"/>
      <c r="E170" s="142"/>
      <c r="F170" s="143">
        <v>3526160</v>
      </c>
      <c r="G170" s="143">
        <v>2354032</v>
      </c>
      <c r="H170" s="144">
        <f t="shared" si="34"/>
        <v>1172128</v>
      </c>
      <c r="I170" s="145">
        <f t="shared" si="35"/>
        <v>0.49792356263636178</v>
      </c>
      <c r="J170" s="146"/>
      <c r="K170" s="143">
        <v>7927606</v>
      </c>
      <c r="L170" s="143">
        <v>5482471</v>
      </c>
      <c r="M170" s="144">
        <f t="shared" si="36"/>
        <v>2445135</v>
      </c>
      <c r="N170" s="145">
        <f t="shared" si="37"/>
        <v>0.44599141518486829</v>
      </c>
      <c r="O170" s="147"/>
      <c r="P170" s="146"/>
      <c r="Q170" s="143">
        <v>13312383</v>
      </c>
      <c r="R170" s="143">
        <v>7763343</v>
      </c>
      <c r="S170" s="144">
        <f t="shared" si="38"/>
        <v>5549040</v>
      </c>
      <c r="T170" s="145">
        <f t="shared" si="39"/>
        <v>0.71477455008750745</v>
      </c>
      <c r="U170" s="146"/>
      <c r="V170" s="143">
        <v>48218333</v>
      </c>
      <c r="W170" s="143">
        <v>44474414</v>
      </c>
      <c r="X170" s="144">
        <f t="shared" si="40"/>
        <v>3743919</v>
      </c>
      <c r="Y170" s="145">
        <f t="shared" si="41"/>
        <v>8.4181412710687992E-2</v>
      </c>
      <c r="Z170" s="148"/>
      <c r="AA170" s="149">
        <v>2280872</v>
      </c>
      <c r="AB170" s="150"/>
      <c r="AC170" s="117">
        <v>3128439</v>
      </c>
      <c r="AD170" s="117">
        <v>2354032</v>
      </c>
      <c r="AE170" s="117">
        <v>830891</v>
      </c>
      <c r="AF170" s="117">
        <v>3547199</v>
      </c>
      <c r="AG170" s="117">
        <v>3644503</v>
      </c>
      <c r="AH170" s="117">
        <v>4169254</v>
      </c>
      <c r="AI170" s="117">
        <v>5464117</v>
      </c>
      <c r="AJ170" s="117">
        <v>5577998</v>
      </c>
      <c r="AK170" s="117">
        <v>3363310</v>
      </c>
      <c r="AL170" s="117">
        <v>4082074</v>
      </c>
      <c r="AM170" s="117">
        <v>4226604</v>
      </c>
      <c r="AN170" s="117">
        <v>5384777</v>
      </c>
      <c r="AO170" s="150"/>
      <c r="AP170" s="117">
        <v>4401446</v>
      </c>
      <c r="AQ170" s="117">
        <v>3526160</v>
      </c>
      <c r="AR170" s="117">
        <v>0</v>
      </c>
      <c r="AS170" s="117">
        <v>0</v>
      </c>
      <c r="AT170" s="117">
        <v>0</v>
      </c>
      <c r="AU170" s="117">
        <v>0</v>
      </c>
      <c r="AV170" s="117">
        <v>0</v>
      </c>
      <c r="AW170" s="117">
        <v>0</v>
      </c>
      <c r="AX170" s="117">
        <v>0</v>
      </c>
      <c r="AY170" s="117">
        <v>0</v>
      </c>
      <c r="AZ170" s="117">
        <v>0</v>
      </c>
      <c r="BA170" s="117">
        <v>0</v>
      </c>
    </row>
    <row r="171" spans="1:53" s="138" customFormat="1" outlineLevel="2" x14ac:dyDescent="0.25">
      <c r="A171" s="138" t="s">
        <v>600</v>
      </c>
      <c r="B171" s="139" t="s">
        <v>601</v>
      </c>
      <c r="C171" s="140" t="s">
        <v>602</v>
      </c>
      <c r="D171" s="141"/>
      <c r="E171" s="142"/>
      <c r="F171" s="143">
        <v>144467.42000000001</v>
      </c>
      <c r="G171" s="143">
        <v>205794.52000000002</v>
      </c>
      <c r="H171" s="144">
        <f t="shared" si="34"/>
        <v>-61327.100000000006</v>
      </c>
      <c r="I171" s="145">
        <f t="shared" si="35"/>
        <v>-0.29800161831325733</v>
      </c>
      <c r="J171" s="146"/>
      <c r="K171" s="143">
        <v>287219.01</v>
      </c>
      <c r="L171" s="143">
        <v>410799.07</v>
      </c>
      <c r="M171" s="144">
        <f t="shared" si="36"/>
        <v>-123580.06</v>
      </c>
      <c r="N171" s="145">
        <f t="shared" si="37"/>
        <v>-0.3008284804539601</v>
      </c>
      <c r="O171" s="147"/>
      <c r="P171" s="146"/>
      <c r="Q171" s="143">
        <v>501365.37</v>
      </c>
      <c r="R171" s="143">
        <v>610938.64</v>
      </c>
      <c r="S171" s="144">
        <f t="shared" si="38"/>
        <v>-109573.27000000002</v>
      </c>
      <c r="T171" s="145">
        <f t="shared" si="39"/>
        <v>-0.17935233233897271</v>
      </c>
      <c r="U171" s="146"/>
      <c r="V171" s="143">
        <v>2418319.8499999996</v>
      </c>
      <c r="W171" s="143">
        <v>2517568.7999999998</v>
      </c>
      <c r="X171" s="144">
        <f t="shared" si="40"/>
        <v>-99248.950000000186</v>
      </c>
      <c r="Y171" s="145">
        <f t="shared" si="41"/>
        <v>-3.9422537330459528E-2</v>
      </c>
      <c r="Z171" s="148"/>
      <c r="AA171" s="149">
        <v>200139.57</v>
      </c>
      <c r="AB171" s="150"/>
      <c r="AC171" s="117">
        <v>205004.55000000002</v>
      </c>
      <c r="AD171" s="117">
        <v>205794.52000000002</v>
      </c>
      <c r="AE171" s="117">
        <v>224084.46</v>
      </c>
      <c r="AF171" s="117">
        <v>207227.86000000002</v>
      </c>
      <c r="AG171" s="117">
        <v>207347.11000000002</v>
      </c>
      <c r="AH171" s="117">
        <v>211700.99</v>
      </c>
      <c r="AI171" s="117">
        <v>213906.83000000002</v>
      </c>
      <c r="AJ171" s="117">
        <v>212284.9</v>
      </c>
      <c r="AK171" s="117">
        <v>213944.26</v>
      </c>
      <c r="AL171" s="117">
        <v>212617.91</v>
      </c>
      <c r="AM171" s="117">
        <v>213840.16</v>
      </c>
      <c r="AN171" s="117">
        <v>214146.36000000002</v>
      </c>
      <c r="AO171" s="150"/>
      <c r="AP171" s="117">
        <v>142751.59</v>
      </c>
      <c r="AQ171" s="117">
        <v>144467.42000000001</v>
      </c>
      <c r="AR171" s="117">
        <v>0</v>
      </c>
      <c r="AS171" s="117">
        <v>0</v>
      </c>
      <c r="AT171" s="117">
        <v>0</v>
      </c>
      <c r="AU171" s="117">
        <v>0</v>
      </c>
      <c r="AV171" s="117">
        <v>0</v>
      </c>
      <c r="AW171" s="117">
        <v>0</v>
      </c>
      <c r="AX171" s="117">
        <v>0</v>
      </c>
      <c r="AY171" s="117">
        <v>0</v>
      </c>
      <c r="AZ171" s="117">
        <v>0</v>
      </c>
      <c r="BA171" s="117">
        <v>0</v>
      </c>
    </row>
    <row r="172" spans="1:53" s="138" customFormat="1" outlineLevel="2" x14ac:dyDescent="0.25">
      <c r="A172" s="138" t="s">
        <v>603</v>
      </c>
      <c r="B172" s="139" t="s">
        <v>604</v>
      </c>
      <c r="C172" s="140" t="s">
        <v>605</v>
      </c>
      <c r="D172" s="141"/>
      <c r="E172" s="142"/>
      <c r="F172" s="143">
        <v>-92124.76</v>
      </c>
      <c r="G172" s="143">
        <v>-92124.88</v>
      </c>
      <c r="H172" s="144">
        <f t="shared" si="34"/>
        <v>0.1200000000098953</v>
      </c>
      <c r="I172" s="145">
        <f t="shared" si="35"/>
        <v>1.3025797158150469E-6</v>
      </c>
      <c r="J172" s="146"/>
      <c r="K172" s="143">
        <v>-541074.80000000005</v>
      </c>
      <c r="L172" s="143">
        <v>-184249.75</v>
      </c>
      <c r="M172" s="144">
        <f t="shared" si="36"/>
        <v>-356825.05000000005</v>
      </c>
      <c r="N172" s="145">
        <f t="shared" si="37"/>
        <v>-1.9366379058858969</v>
      </c>
      <c r="O172" s="147"/>
      <c r="P172" s="146"/>
      <c r="Q172" s="143">
        <v>-633199.67000000004</v>
      </c>
      <c r="R172" s="143">
        <v>-276374.62</v>
      </c>
      <c r="S172" s="144">
        <f t="shared" si="38"/>
        <v>-356825.05000000005</v>
      </c>
      <c r="T172" s="145">
        <f t="shared" si="39"/>
        <v>-1.2910919606149076</v>
      </c>
      <c r="U172" s="146"/>
      <c r="V172" s="143">
        <v>-1462323.62</v>
      </c>
      <c r="W172" s="143">
        <v>-1515936.43</v>
      </c>
      <c r="X172" s="144">
        <f t="shared" si="40"/>
        <v>53612.809999999823</v>
      </c>
      <c r="Y172" s="145">
        <f t="shared" si="41"/>
        <v>3.5366133393865219E-2</v>
      </c>
      <c r="Z172" s="148"/>
      <c r="AA172" s="149">
        <v>-92124.87</v>
      </c>
      <c r="AB172" s="150"/>
      <c r="AC172" s="117">
        <v>-92124.87</v>
      </c>
      <c r="AD172" s="117">
        <v>-92124.88</v>
      </c>
      <c r="AE172" s="117">
        <v>-92124.87</v>
      </c>
      <c r="AF172" s="117">
        <v>-92124.900000000009</v>
      </c>
      <c r="AG172" s="117">
        <v>-92124.87</v>
      </c>
      <c r="AH172" s="117">
        <v>-92124.900000000009</v>
      </c>
      <c r="AI172" s="117">
        <v>-92124.87</v>
      </c>
      <c r="AJ172" s="117">
        <v>-92124.87</v>
      </c>
      <c r="AK172" s="117">
        <v>-92124.900000000009</v>
      </c>
      <c r="AL172" s="117">
        <v>-92124.87</v>
      </c>
      <c r="AM172" s="117">
        <v>-92124.900000000009</v>
      </c>
      <c r="AN172" s="117">
        <v>-92124.87</v>
      </c>
      <c r="AO172" s="150"/>
      <c r="AP172" s="117">
        <v>-448950.04000000004</v>
      </c>
      <c r="AQ172" s="117">
        <v>-92124.76</v>
      </c>
      <c r="AR172" s="117">
        <v>0</v>
      </c>
      <c r="AS172" s="117">
        <v>0</v>
      </c>
      <c r="AT172" s="117">
        <v>0</v>
      </c>
      <c r="AU172" s="117">
        <v>0</v>
      </c>
      <c r="AV172" s="117">
        <v>0</v>
      </c>
      <c r="AW172" s="117">
        <v>0</v>
      </c>
      <c r="AX172" s="117">
        <v>0</v>
      </c>
      <c r="AY172" s="117">
        <v>0</v>
      </c>
      <c r="AZ172" s="117">
        <v>0</v>
      </c>
      <c r="BA172" s="117">
        <v>0</v>
      </c>
    </row>
    <row r="173" spans="1:53" s="138" customFormat="1" outlineLevel="2" x14ac:dyDescent="0.25">
      <c r="A173" s="138" t="s">
        <v>606</v>
      </c>
      <c r="B173" s="139" t="s">
        <v>607</v>
      </c>
      <c r="C173" s="140" t="s">
        <v>608</v>
      </c>
      <c r="D173" s="141"/>
      <c r="E173" s="142"/>
      <c r="F173" s="143">
        <v>55186.94</v>
      </c>
      <c r="G173" s="143">
        <v>72926.06</v>
      </c>
      <c r="H173" s="144">
        <f t="shared" si="34"/>
        <v>-17739.119999999995</v>
      </c>
      <c r="I173" s="145">
        <f t="shared" si="35"/>
        <v>-0.24324802409454174</v>
      </c>
      <c r="J173" s="146"/>
      <c r="K173" s="143">
        <v>109717.18000000001</v>
      </c>
      <c r="L173" s="143">
        <v>145571.76999999999</v>
      </c>
      <c r="M173" s="144">
        <f t="shared" si="36"/>
        <v>-35854.589999999982</v>
      </c>
      <c r="N173" s="145">
        <f t="shared" si="37"/>
        <v>-0.24630180700557522</v>
      </c>
      <c r="O173" s="147"/>
      <c r="P173" s="146"/>
      <c r="Q173" s="143">
        <v>191476.5</v>
      </c>
      <c r="R173" s="143">
        <v>217233.81</v>
      </c>
      <c r="S173" s="144">
        <f t="shared" si="38"/>
        <v>-25757.309999999998</v>
      </c>
      <c r="T173" s="145">
        <f t="shared" si="39"/>
        <v>-0.11856952653916993</v>
      </c>
      <c r="U173" s="146"/>
      <c r="V173" s="143">
        <v>1021384.1000000001</v>
      </c>
      <c r="W173" s="143">
        <v>970458.02</v>
      </c>
      <c r="X173" s="144">
        <f t="shared" si="40"/>
        <v>50926.080000000075</v>
      </c>
      <c r="Y173" s="145">
        <f t="shared" si="41"/>
        <v>5.2476334834143649E-2</v>
      </c>
      <c r="Z173" s="148"/>
      <c r="AA173" s="149">
        <v>71662.040000000008</v>
      </c>
      <c r="AB173" s="150"/>
      <c r="AC173" s="117">
        <v>72645.710000000006</v>
      </c>
      <c r="AD173" s="117">
        <v>72926.06</v>
      </c>
      <c r="AE173" s="117">
        <v>72769.900000000009</v>
      </c>
      <c r="AF173" s="117">
        <v>72984.53</v>
      </c>
      <c r="AG173" s="117">
        <v>74529.430000000008</v>
      </c>
      <c r="AH173" s="117">
        <v>71128.960000000006</v>
      </c>
      <c r="AI173" s="117">
        <v>71806.75</v>
      </c>
      <c r="AJ173" s="117">
        <v>222150.65</v>
      </c>
      <c r="AK173" s="117">
        <v>81649.52</v>
      </c>
      <c r="AL173" s="117">
        <v>81246.2</v>
      </c>
      <c r="AM173" s="117">
        <v>81641.66</v>
      </c>
      <c r="AN173" s="117">
        <v>81759.320000000007</v>
      </c>
      <c r="AO173" s="150"/>
      <c r="AP173" s="117">
        <v>54530.239999999998</v>
      </c>
      <c r="AQ173" s="117">
        <v>55186.94</v>
      </c>
      <c r="AR173" s="117">
        <v>0</v>
      </c>
      <c r="AS173" s="117">
        <v>0</v>
      </c>
      <c r="AT173" s="117">
        <v>0</v>
      </c>
      <c r="AU173" s="117">
        <v>0</v>
      </c>
      <c r="AV173" s="117">
        <v>0</v>
      </c>
      <c r="AW173" s="117">
        <v>0</v>
      </c>
      <c r="AX173" s="117">
        <v>0</v>
      </c>
      <c r="AY173" s="117">
        <v>0</v>
      </c>
      <c r="AZ173" s="117">
        <v>0</v>
      </c>
      <c r="BA173" s="117">
        <v>0</v>
      </c>
    </row>
    <row r="174" spans="1:53" s="138" customFormat="1" outlineLevel="2" x14ac:dyDescent="0.25">
      <c r="A174" s="138" t="s">
        <v>609</v>
      </c>
      <c r="B174" s="139" t="s">
        <v>610</v>
      </c>
      <c r="C174" s="140" t="s">
        <v>611</v>
      </c>
      <c r="D174" s="141"/>
      <c r="E174" s="142"/>
      <c r="F174" s="143">
        <v>38313.480000000003</v>
      </c>
      <c r="G174" s="143">
        <v>70589.48</v>
      </c>
      <c r="H174" s="144">
        <f t="shared" si="34"/>
        <v>-32275.999999999993</v>
      </c>
      <c r="I174" s="145">
        <f t="shared" si="35"/>
        <v>-0.45723527075139236</v>
      </c>
      <c r="J174" s="146"/>
      <c r="K174" s="143">
        <v>98145.81</v>
      </c>
      <c r="L174" s="143">
        <v>139929.99</v>
      </c>
      <c r="M174" s="144">
        <f t="shared" si="36"/>
        <v>-41784.179999999993</v>
      </c>
      <c r="N174" s="145">
        <f t="shared" si="37"/>
        <v>-0.29860775377744253</v>
      </c>
      <c r="O174" s="147"/>
      <c r="P174" s="146"/>
      <c r="Q174" s="143">
        <v>136242.84</v>
      </c>
      <c r="R174" s="143">
        <v>223597.5</v>
      </c>
      <c r="S174" s="144">
        <f t="shared" si="38"/>
        <v>-87354.66</v>
      </c>
      <c r="T174" s="145">
        <f t="shared" si="39"/>
        <v>-0.39067816053399523</v>
      </c>
      <c r="U174" s="146"/>
      <c r="V174" s="143">
        <v>582165.37</v>
      </c>
      <c r="W174" s="143">
        <v>976071.93</v>
      </c>
      <c r="X174" s="144">
        <f t="shared" si="40"/>
        <v>-393906.56000000006</v>
      </c>
      <c r="Y174" s="145">
        <f t="shared" si="41"/>
        <v>-0.40356304478502936</v>
      </c>
      <c r="Z174" s="148"/>
      <c r="AA174" s="149">
        <v>83667.509999999995</v>
      </c>
      <c r="AB174" s="150"/>
      <c r="AC174" s="117">
        <v>69340.509999999995</v>
      </c>
      <c r="AD174" s="117">
        <v>70589.48</v>
      </c>
      <c r="AE174" s="117">
        <v>42015.06</v>
      </c>
      <c r="AF174" s="117">
        <v>64092.87</v>
      </c>
      <c r="AG174" s="117">
        <v>54427.93</v>
      </c>
      <c r="AH174" s="117">
        <v>50526.380000000005</v>
      </c>
      <c r="AI174" s="117">
        <v>46459.62</v>
      </c>
      <c r="AJ174" s="117">
        <v>60124.62</v>
      </c>
      <c r="AK174" s="117">
        <v>54733.61</v>
      </c>
      <c r="AL174" s="117">
        <v>46672.04</v>
      </c>
      <c r="AM174" s="117">
        <v>26870.400000000001</v>
      </c>
      <c r="AN174" s="117">
        <v>38097.03</v>
      </c>
      <c r="AO174" s="150"/>
      <c r="AP174" s="117">
        <v>59832.33</v>
      </c>
      <c r="AQ174" s="117">
        <v>38313.480000000003</v>
      </c>
      <c r="AR174" s="117">
        <v>0</v>
      </c>
      <c r="AS174" s="117">
        <v>0</v>
      </c>
      <c r="AT174" s="117">
        <v>0</v>
      </c>
      <c r="AU174" s="117">
        <v>0</v>
      </c>
      <c r="AV174" s="117">
        <v>0</v>
      </c>
      <c r="AW174" s="117">
        <v>0</v>
      </c>
      <c r="AX174" s="117">
        <v>0</v>
      </c>
      <c r="AY174" s="117">
        <v>0</v>
      </c>
      <c r="AZ174" s="117">
        <v>0</v>
      </c>
      <c r="BA174" s="117">
        <v>0</v>
      </c>
    </row>
    <row r="175" spans="1:53" s="138" customFormat="1" outlineLevel="2" x14ac:dyDescent="0.25">
      <c r="A175" s="138" t="s">
        <v>612</v>
      </c>
      <c r="B175" s="139" t="s">
        <v>613</v>
      </c>
      <c r="C175" s="140" t="s">
        <v>614</v>
      </c>
      <c r="D175" s="141"/>
      <c r="E175" s="142"/>
      <c r="F175" s="143">
        <v>-7213.77</v>
      </c>
      <c r="G175" s="143">
        <v>-14292.39</v>
      </c>
      <c r="H175" s="144">
        <f t="shared" si="34"/>
        <v>7078.619999999999</v>
      </c>
      <c r="I175" s="145">
        <f t="shared" si="35"/>
        <v>0.4952719594133661</v>
      </c>
      <c r="J175" s="146"/>
      <c r="K175" s="143">
        <v>-54828.130000000005</v>
      </c>
      <c r="L175" s="143">
        <v>-17092.07</v>
      </c>
      <c r="M175" s="144">
        <f t="shared" si="36"/>
        <v>-37736.060000000005</v>
      </c>
      <c r="N175" s="145">
        <f t="shared" si="37"/>
        <v>-2.2078109907108971</v>
      </c>
      <c r="O175" s="147"/>
      <c r="P175" s="146"/>
      <c r="Q175" s="143">
        <v>-63224.640000000007</v>
      </c>
      <c r="R175" s="143">
        <v>-38461.86</v>
      </c>
      <c r="S175" s="144">
        <f t="shared" si="38"/>
        <v>-24762.780000000006</v>
      </c>
      <c r="T175" s="145">
        <f t="shared" si="39"/>
        <v>-0.64382689760713618</v>
      </c>
      <c r="U175" s="146"/>
      <c r="V175" s="143">
        <v>-133174.39000000001</v>
      </c>
      <c r="W175" s="143">
        <v>-260279.54</v>
      </c>
      <c r="X175" s="144">
        <f t="shared" si="40"/>
        <v>127105.15</v>
      </c>
      <c r="Y175" s="145">
        <f t="shared" si="41"/>
        <v>0.48834091992017503</v>
      </c>
      <c r="Z175" s="148"/>
      <c r="AA175" s="149">
        <v>-21369.79</v>
      </c>
      <c r="AB175" s="150"/>
      <c r="AC175" s="117">
        <v>-2799.68</v>
      </c>
      <c r="AD175" s="117">
        <v>-14292.39</v>
      </c>
      <c r="AE175" s="117">
        <v>-3860.52</v>
      </c>
      <c r="AF175" s="117">
        <v>-14194.86</v>
      </c>
      <c r="AG175" s="117">
        <v>-14205.550000000001</v>
      </c>
      <c r="AH175" s="117">
        <v>-3476.4500000000003</v>
      </c>
      <c r="AI175" s="117">
        <v>-4497.4800000000005</v>
      </c>
      <c r="AJ175" s="117">
        <v>-4919.0200000000004</v>
      </c>
      <c r="AK175" s="117">
        <v>-7448.56</v>
      </c>
      <c r="AL175" s="117">
        <v>-4110.8599999999997</v>
      </c>
      <c r="AM175" s="117">
        <v>-13236.45</v>
      </c>
      <c r="AN175" s="117">
        <v>-8396.51</v>
      </c>
      <c r="AO175" s="150"/>
      <c r="AP175" s="117">
        <v>-47614.36</v>
      </c>
      <c r="AQ175" s="117">
        <v>-7213.77</v>
      </c>
      <c r="AR175" s="117">
        <v>0</v>
      </c>
      <c r="AS175" s="117">
        <v>0</v>
      </c>
      <c r="AT175" s="117">
        <v>0</v>
      </c>
      <c r="AU175" s="117">
        <v>0</v>
      </c>
      <c r="AV175" s="117">
        <v>0</v>
      </c>
      <c r="AW175" s="117">
        <v>0</v>
      </c>
      <c r="AX175" s="117">
        <v>0</v>
      </c>
      <c r="AY175" s="117">
        <v>0</v>
      </c>
      <c r="AZ175" s="117">
        <v>0</v>
      </c>
      <c r="BA175" s="117">
        <v>0</v>
      </c>
    </row>
    <row r="176" spans="1:53" s="138" customFormat="1" outlineLevel="2" x14ac:dyDescent="0.25">
      <c r="A176" s="138" t="s">
        <v>615</v>
      </c>
      <c r="B176" s="139" t="s">
        <v>616</v>
      </c>
      <c r="C176" s="140" t="s">
        <v>617</v>
      </c>
      <c r="D176" s="141"/>
      <c r="E176" s="142"/>
      <c r="F176" s="143">
        <v>237267.51</v>
      </c>
      <c r="G176" s="143">
        <v>246073.08000000002</v>
      </c>
      <c r="H176" s="144">
        <f t="shared" si="34"/>
        <v>-8805.570000000007</v>
      </c>
      <c r="I176" s="145">
        <f t="shared" si="35"/>
        <v>-3.5784369423912631E-2</v>
      </c>
      <c r="J176" s="146"/>
      <c r="K176" s="143">
        <v>1201679.5900000001</v>
      </c>
      <c r="L176" s="143">
        <v>598495.99</v>
      </c>
      <c r="M176" s="144">
        <f t="shared" si="36"/>
        <v>603183.60000000009</v>
      </c>
      <c r="N176" s="145">
        <f t="shared" si="37"/>
        <v>1.0078323164704914</v>
      </c>
      <c r="O176" s="147"/>
      <c r="P176" s="146"/>
      <c r="Q176" s="143">
        <v>1591659.9100000001</v>
      </c>
      <c r="R176" s="143">
        <v>746776.98</v>
      </c>
      <c r="S176" s="144">
        <f t="shared" si="38"/>
        <v>844882.93000000017</v>
      </c>
      <c r="T176" s="145">
        <f t="shared" si="39"/>
        <v>1.1313724882092646</v>
      </c>
      <c r="U176" s="146"/>
      <c r="V176" s="143">
        <v>8666287.2699999996</v>
      </c>
      <c r="W176" s="143">
        <v>11677728.449000001</v>
      </c>
      <c r="X176" s="144">
        <f t="shared" si="40"/>
        <v>-3011441.1790000014</v>
      </c>
      <c r="Y176" s="145">
        <f t="shared" si="41"/>
        <v>-0.25787902092019277</v>
      </c>
      <c r="Z176" s="148"/>
      <c r="AA176" s="149">
        <v>148280.99</v>
      </c>
      <c r="AB176" s="150"/>
      <c r="AC176" s="117">
        <v>352422.91000000003</v>
      </c>
      <c r="AD176" s="117">
        <v>246073.08000000002</v>
      </c>
      <c r="AE176" s="117">
        <v>243371.37</v>
      </c>
      <c r="AF176" s="117">
        <v>265723.53999999998</v>
      </c>
      <c r="AG176" s="117">
        <v>303700.77</v>
      </c>
      <c r="AH176" s="117">
        <v>839083.01</v>
      </c>
      <c r="AI176" s="117">
        <v>1062059.81</v>
      </c>
      <c r="AJ176" s="117">
        <v>2234978.58</v>
      </c>
      <c r="AK176" s="117">
        <v>465152.12</v>
      </c>
      <c r="AL176" s="117">
        <v>327412.17</v>
      </c>
      <c r="AM176" s="117">
        <v>1333145.99</v>
      </c>
      <c r="AN176" s="117">
        <v>389980.32</v>
      </c>
      <c r="AO176" s="150"/>
      <c r="AP176" s="117">
        <v>964412.08000000007</v>
      </c>
      <c r="AQ176" s="117">
        <v>237267.51</v>
      </c>
      <c r="AR176" s="117">
        <v>-269020.16000000003</v>
      </c>
      <c r="AS176" s="117">
        <v>0</v>
      </c>
      <c r="AT176" s="117">
        <v>0</v>
      </c>
      <c r="AU176" s="117">
        <v>0</v>
      </c>
      <c r="AV176" s="117">
        <v>0</v>
      </c>
      <c r="AW176" s="117">
        <v>0</v>
      </c>
      <c r="AX176" s="117">
        <v>0</v>
      </c>
      <c r="AY176" s="117">
        <v>0</v>
      </c>
      <c r="AZ176" s="117">
        <v>0</v>
      </c>
      <c r="BA176" s="117">
        <v>0</v>
      </c>
    </row>
    <row r="177" spans="1:53" s="138" customFormat="1" outlineLevel="2" x14ac:dyDescent="0.25">
      <c r="A177" s="138" t="s">
        <v>618</v>
      </c>
      <c r="B177" s="139" t="s">
        <v>619</v>
      </c>
      <c r="C177" s="140" t="s">
        <v>620</v>
      </c>
      <c r="D177" s="141"/>
      <c r="E177" s="142"/>
      <c r="F177" s="143">
        <v>12405.35</v>
      </c>
      <c r="G177" s="143">
        <v>15003.34</v>
      </c>
      <c r="H177" s="144">
        <f t="shared" si="34"/>
        <v>-2597.9899999999998</v>
      </c>
      <c r="I177" s="145">
        <f t="shared" si="35"/>
        <v>-0.17316077620049933</v>
      </c>
      <c r="J177" s="146"/>
      <c r="K177" s="143">
        <v>41484.550000000003</v>
      </c>
      <c r="L177" s="143">
        <v>60027.17</v>
      </c>
      <c r="M177" s="144">
        <f t="shared" si="36"/>
        <v>-18542.619999999995</v>
      </c>
      <c r="N177" s="145">
        <f t="shared" si="37"/>
        <v>-0.30890378473614527</v>
      </c>
      <c r="O177" s="147"/>
      <c r="P177" s="146"/>
      <c r="Q177" s="143">
        <v>63884.73</v>
      </c>
      <c r="R177" s="143">
        <v>81106.02</v>
      </c>
      <c r="S177" s="144">
        <f t="shared" si="38"/>
        <v>-17221.29</v>
      </c>
      <c r="T177" s="145">
        <f t="shared" si="39"/>
        <v>-0.21233060135363566</v>
      </c>
      <c r="U177" s="146"/>
      <c r="V177" s="143">
        <v>305471.68</v>
      </c>
      <c r="W177" s="143">
        <v>-123167.76</v>
      </c>
      <c r="X177" s="144">
        <f t="shared" si="40"/>
        <v>428639.44</v>
      </c>
      <c r="Y177" s="145">
        <f t="shared" si="41"/>
        <v>3.4801269423102279</v>
      </c>
      <c r="Z177" s="148"/>
      <c r="AA177" s="149">
        <v>21078.850000000002</v>
      </c>
      <c r="AB177" s="150"/>
      <c r="AC177" s="117">
        <v>45023.83</v>
      </c>
      <c r="AD177" s="117">
        <v>15003.34</v>
      </c>
      <c r="AE177" s="117">
        <v>23261.420000000002</v>
      </c>
      <c r="AF177" s="117">
        <v>42254.700000000004</v>
      </c>
      <c r="AG177" s="117">
        <v>11208.64</v>
      </c>
      <c r="AH177" s="117">
        <v>26856.16</v>
      </c>
      <c r="AI177" s="117">
        <v>20408.100000000002</v>
      </c>
      <c r="AJ177" s="117">
        <v>41702.89</v>
      </c>
      <c r="AK177" s="117">
        <v>32770.879999999997</v>
      </c>
      <c r="AL177" s="117">
        <v>25744.11</v>
      </c>
      <c r="AM177" s="117">
        <v>17380.05</v>
      </c>
      <c r="AN177" s="117">
        <v>22400.18</v>
      </c>
      <c r="AO177" s="150"/>
      <c r="AP177" s="117">
        <v>29079.200000000001</v>
      </c>
      <c r="AQ177" s="117">
        <v>12405.35</v>
      </c>
      <c r="AR177" s="117">
        <v>0</v>
      </c>
      <c r="AS177" s="117">
        <v>0</v>
      </c>
      <c r="AT177" s="117">
        <v>0</v>
      </c>
      <c r="AU177" s="117">
        <v>0</v>
      </c>
      <c r="AV177" s="117">
        <v>0</v>
      </c>
      <c r="AW177" s="117">
        <v>0</v>
      </c>
      <c r="AX177" s="117">
        <v>0</v>
      </c>
      <c r="AY177" s="117">
        <v>0</v>
      </c>
      <c r="AZ177" s="117">
        <v>0</v>
      </c>
      <c r="BA177" s="117">
        <v>0</v>
      </c>
    </row>
    <row r="178" spans="1:53" s="138" customFormat="1" outlineLevel="2" x14ac:dyDescent="0.25">
      <c r="A178" s="138" t="s">
        <v>621</v>
      </c>
      <c r="B178" s="139" t="s">
        <v>622</v>
      </c>
      <c r="C178" s="140" t="s">
        <v>623</v>
      </c>
      <c r="D178" s="141"/>
      <c r="E178" s="142"/>
      <c r="F178" s="143">
        <v>-698.24</v>
      </c>
      <c r="G178" s="143">
        <v>-3981.9700000000003</v>
      </c>
      <c r="H178" s="144">
        <f t="shared" si="34"/>
        <v>3283.7300000000005</v>
      </c>
      <c r="I178" s="145">
        <f t="shared" si="35"/>
        <v>0.82464960810854937</v>
      </c>
      <c r="J178" s="146"/>
      <c r="K178" s="143">
        <v>-8272.6</v>
      </c>
      <c r="L178" s="143">
        <v>-25220.240000000002</v>
      </c>
      <c r="M178" s="144">
        <f t="shared" si="36"/>
        <v>16947.64</v>
      </c>
      <c r="N178" s="145">
        <f t="shared" si="37"/>
        <v>0.67198567499754158</v>
      </c>
      <c r="O178" s="147"/>
      <c r="P178" s="146"/>
      <c r="Q178" s="143">
        <v>-11670</v>
      </c>
      <c r="R178" s="143">
        <v>-29085.350000000002</v>
      </c>
      <c r="S178" s="144">
        <f t="shared" si="38"/>
        <v>17415.350000000002</v>
      </c>
      <c r="T178" s="145">
        <f t="shared" si="39"/>
        <v>0.59876707689610065</v>
      </c>
      <c r="U178" s="146"/>
      <c r="V178" s="143">
        <v>-48299.199999999997</v>
      </c>
      <c r="W178" s="143">
        <v>-257108.46</v>
      </c>
      <c r="X178" s="144">
        <f t="shared" si="40"/>
        <v>208809.26</v>
      </c>
      <c r="Y178" s="145">
        <f t="shared" si="41"/>
        <v>0.81214464899365824</v>
      </c>
      <c r="Z178" s="148"/>
      <c r="AA178" s="149">
        <v>-3865.11</v>
      </c>
      <c r="AB178" s="150"/>
      <c r="AC178" s="117">
        <v>-21238.27</v>
      </c>
      <c r="AD178" s="117">
        <v>-3981.9700000000003</v>
      </c>
      <c r="AE178" s="117">
        <v>-5235.13</v>
      </c>
      <c r="AF178" s="117">
        <v>-6332.13</v>
      </c>
      <c r="AG178" s="117">
        <v>-4250.88</v>
      </c>
      <c r="AH178" s="117">
        <v>-5423.79</v>
      </c>
      <c r="AI178" s="117">
        <v>-2913.3</v>
      </c>
      <c r="AJ178" s="117">
        <v>-6179.74</v>
      </c>
      <c r="AK178" s="117">
        <v>-879.5</v>
      </c>
      <c r="AL178" s="117">
        <v>-3096.61</v>
      </c>
      <c r="AM178" s="117">
        <v>-2318.12</v>
      </c>
      <c r="AN178" s="117">
        <v>-3397.4</v>
      </c>
      <c r="AO178" s="150"/>
      <c r="AP178" s="117">
        <v>-7574.3600000000006</v>
      </c>
      <c r="AQ178" s="117">
        <v>-698.24</v>
      </c>
      <c r="AR178" s="117">
        <v>0</v>
      </c>
      <c r="AS178" s="117">
        <v>0</v>
      </c>
      <c r="AT178" s="117">
        <v>0</v>
      </c>
      <c r="AU178" s="117">
        <v>0</v>
      </c>
      <c r="AV178" s="117">
        <v>0</v>
      </c>
      <c r="AW178" s="117">
        <v>0</v>
      </c>
      <c r="AX178" s="117">
        <v>0</v>
      </c>
      <c r="AY178" s="117">
        <v>0</v>
      </c>
      <c r="AZ178" s="117">
        <v>0</v>
      </c>
      <c r="BA178" s="117">
        <v>0</v>
      </c>
    </row>
    <row r="179" spans="1:53" s="138" customFormat="1" outlineLevel="2" x14ac:dyDescent="0.25">
      <c r="A179" s="138" t="s">
        <v>624</v>
      </c>
      <c r="B179" s="139" t="s">
        <v>625</v>
      </c>
      <c r="C179" s="140" t="s">
        <v>626</v>
      </c>
      <c r="D179" s="141"/>
      <c r="E179" s="142"/>
      <c r="F179" s="143">
        <v>28.330000000000002</v>
      </c>
      <c r="G179" s="143">
        <v>564.70000000000005</v>
      </c>
      <c r="H179" s="144">
        <f t="shared" si="34"/>
        <v>-536.37</v>
      </c>
      <c r="I179" s="145">
        <f t="shared" si="35"/>
        <v>-0.94983176908092781</v>
      </c>
      <c r="J179" s="146"/>
      <c r="K179" s="143">
        <v>114.06</v>
      </c>
      <c r="L179" s="143">
        <v>2739.9500000000003</v>
      </c>
      <c r="M179" s="144">
        <f t="shared" si="36"/>
        <v>-2625.8900000000003</v>
      </c>
      <c r="N179" s="145">
        <f t="shared" si="37"/>
        <v>-0.95837150312961916</v>
      </c>
      <c r="O179" s="147"/>
      <c r="P179" s="146"/>
      <c r="Q179" s="143">
        <v>411.2</v>
      </c>
      <c r="R179" s="143">
        <v>5022.18</v>
      </c>
      <c r="S179" s="144">
        <f t="shared" si="38"/>
        <v>-4610.9800000000005</v>
      </c>
      <c r="T179" s="145">
        <f t="shared" si="39"/>
        <v>-0.91812320546057691</v>
      </c>
      <c r="U179" s="146"/>
      <c r="V179" s="143">
        <v>201076.31</v>
      </c>
      <c r="W179" s="143">
        <v>270971.75</v>
      </c>
      <c r="X179" s="144">
        <f t="shared" si="40"/>
        <v>-69895.44</v>
      </c>
      <c r="Y179" s="145">
        <f t="shared" si="41"/>
        <v>-0.25794364172648993</v>
      </c>
      <c r="Z179" s="148"/>
      <c r="AA179" s="149">
        <v>2282.23</v>
      </c>
      <c r="AB179" s="150"/>
      <c r="AC179" s="117">
        <v>2175.25</v>
      </c>
      <c r="AD179" s="117">
        <v>564.70000000000005</v>
      </c>
      <c r="AE179" s="117">
        <v>566.27</v>
      </c>
      <c r="AF179" s="117">
        <v>3316.52</v>
      </c>
      <c r="AG179" s="117">
        <v>196.82</v>
      </c>
      <c r="AH179" s="117">
        <v>6689.59</v>
      </c>
      <c r="AI179" s="117">
        <v>82325.400000000009</v>
      </c>
      <c r="AJ179" s="117">
        <v>57956.97</v>
      </c>
      <c r="AK179" s="117">
        <v>41705.78</v>
      </c>
      <c r="AL179" s="117">
        <v>6809.4800000000005</v>
      </c>
      <c r="AM179" s="117">
        <v>1098.28</v>
      </c>
      <c r="AN179" s="117">
        <v>297.14</v>
      </c>
      <c r="AO179" s="150"/>
      <c r="AP179" s="117">
        <v>85.73</v>
      </c>
      <c r="AQ179" s="117">
        <v>28.330000000000002</v>
      </c>
      <c r="AR179" s="117">
        <v>0</v>
      </c>
      <c r="AS179" s="117">
        <v>0</v>
      </c>
      <c r="AT179" s="117">
        <v>0</v>
      </c>
      <c r="AU179" s="117">
        <v>0</v>
      </c>
      <c r="AV179" s="117">
        <v>0</v>
      </c>
      <c r="AW179" s="117">
        <v>0</v>
      </c>
      <c r="AX179" s="117">
        <v>0</v>
      </c>
      <c r="AY179" s="117">
        <v>0</v>
      </c>
      <c r="AZ179" s="117">
        <v>0</v>
      </c>
      <c r="BA179" s="117">
        <v>0</v>
      </c>
    </row>
    <row r="180" spans="1:53" s="138" customFormat="1" outlineLevel="2" x14ac:dyDescent="0.25">
      <c r="A180" s="138" t="s">
        <v>627</v>
      </c>
      <c r="B180" s="139" t="s">
        <v>628</v>
      </c>
      <c r="C180" s="140" t="s">
        <v>629</v>
      </c>
      <c r="D180" s="141"/>
      <c r="E180" s="142"/>
      <c r="F180" s="143">
        <v>0</v>
      </c>
      <c r="G180" s="143">
        <v>0</v>
      </c>
      <c r="H180" s="144">
        <f t="shared" si="34"/>
        <v>0</v>
      </c>
      <c r="I180" s="145">
        <f t="shared" si="35"/>
        <v>0</v>
      </c>
      <c r="J180" s="146"/>
      <c r="K180" s="143">
        <v>0</v>
      </c>
      <c r="L180" s="143">
        <v>0</v>
      </c>
      <c r="M180" s="144">
        <f t="shared" si="36"/>
        <v>0</v>
      </c>
      <c r="N180" s="145">
        <f t="shared" si="37"/>
        <v>0</v>
      </c>
      <c r="O180" s="147"/>
      <c r="P180" s="146"/>
      <c r="Q180" s="143">
        <v>0</v>
      </c>
      <c r="R180" s="143">
        <v>0</v>
      </c>
      <c r="S180" s="144">
        <f t="shared" si="38"/>
        <v>0</v>
      </c>
      <c r="T180" s="145">
        <f t="shared" si="39"/>
        <v>0</v>
      </c>
      <c r="U180" s="146"/>
      <c r="V180" s="143">
        <v>0</v>
      </c>
      <c r="W180" s="143">
        <v>-26660.940000000002</v>
      </c>
      <c r="X180" s="144">
        <f t="shared" si="40"/>
        <v>26660.940000000002</v>
      </c>
      <c r="Y180" s="145" t="str">
        <f t="shared" si="41"/>
        <v>N.M.</v>
      </c>
      <c r="Z180" s="148"/>
      <c r="AA180" s="149">
        <v>0</v>
      </c>
      <c r="AB180" s="150"/>
      <c r="AC180" s="117">
        <v>0</v>
      </c>
      <c r="AD180" s="117">
        <v>0</v>
      </c>
      <c r="AE180" s="117">
        <v>0</v>
      </c>
      <c r="AF180" s="117">
        <v>0</v>
      </c>
      <c r="AG180" s="117">
        <v>0</v>
      </c>
      <c r="AH180" s="117">
        <v>0</v>
      </c>
      <c r="AI180" s="117">
        <v>0</v>
      </c>
      <c r="AJ180" s="117">
        <v>0</v>
      </c>
      <c r="AK180" s="117">
        <v>0</v>
      </c>
      <c r="AL180" s="117">
        <v>0</v>
      </c>
      <c r="AM180" s="117">
        <v>0</v>
      </c>
      <c r="AN180" s="117">
        <v>0</v>
      </c>
      <c r="AO180" s="150"/>
      <c r="AP180" s="117">
        <v>0</v>
      </c>
      <c r="AQ180" s="117">
        <v>0</v>
      </c>
      <c r="AR180" s="117">
        <v>0</v>
      </c>
      <c r="AS180" s="117">
        <v>0</v>
      </c>
      <c r="AT180" s="117">
        <v>0</v>
      </c>
      <c r="AU180" s="117">
        <v>0</v>
      </c>
      <c r="AV180" s="117">
        <v>0</v>
      </c>
      <c r="AW180" s="117">
        <v>0</v>
      </c>
      <c r="AX180" s="117">
        <v>0</v>
      </c>
      <c r="AY180" s="117">
        <v>0</v>
      </c>
      <c r="AZ180" s="117">
        <v>0</v>
      </c>
      <c r="BA180" s="117">
        <v>0</v>
      </c>
    </row>
    <row r="181" spans="1:53" s="138" customFormat="1" outlineLevel="2" x14ac:dyDescent="0.25">
      <c r="A181" s="138" t="s">
        <v>630</v>
      </c>
      <c r="B181" s="139" t="s">
        <v>631</v>
      </c>
      <c r="C181" s="140" t="s">
        <v>632</v>
      </c>
      <c r="D181" s="141"/>
      <c r="E181" s="142"/>
      <c r="F181" s="143">
        <v>0</v>
      </c>
      <c r="G181" s="143">
        <v>0</v>
      </c>
      <c r="H181" s="144">
        <f t="shared" si="34"/>
        <v>0</v>
      </c>
      <c r="I181" s="145">
        <f t="shared" si="35"/>
        <v>0</v>
      </c>
      <c r="J181" s="146"/>
      <c r="K181" s="143">
        <v>0</v>
      </c>
      <c r="L181" s="143">
        <v>0</v>
      </c>
      <c r="M181" s="144">
        <f t="shared" si="36"/>
        <v>0</v>
      </c>
      <c r="N181" s="145">
        <f t="shared" si="37"/>
        <v>0</v>
      </c>
      <c r="O181" s="147"/>
      <c r="P181" s="146"/>
      <c r="Q181" s="143">
        <v>0</v>
      </c>
      <c r="R181" s="143">
        <v>0</v>
      </c>
      <c r="S181" s="144">
        <f t="shared" si="38"/>
        <v>0</v>
      </c>
      <c r="T181" s="145">
        <f t="shared" si="39"/>
        <v>0</v>
      </c>
      <c r="U181" s="146"/>
      <c r="V181" s="143">
        <v>0</v>
      </c>
      <c r="W181" s="143">
        <v>0</v>
      </c>
      <c r="X181" s="144">
        <f t="shared" si="40"/>
        <v>0</v>
      </c>
      <c r="Y181" s="145">
        <f t="shared" si="41"/>
        <v>0</v>
      </c>
      <c r="Z181" s="148"/>
      <c r="AA181" s="149">
        <v>0</v>
      </c>
      <c r="AB181" s="150"/>
      <c r="AC181" s="117">
        <v>0</v>
      </c>
      <c r="AD181" s="117">
        <v>0</v>
      </c>
      <c r="AE181" s="117">
        <v>0</v>
      </c>
      <c r="AF181" s="117">
        <v>0</v>
      </c>
      <c r="AG181" s="117">
        <v>0</v>
      </c>
      <c r="AH181" s="117">
        <v>0</v>
      </c>
      <c r="AI181" s="117">
        <v>0</v>
      </c>
      <c r="AJ181" s="117">
        <v>0</v>
      </c>
      <c r="AK181" s="117">
        <v>0</v>
      </c>
      <c r="AL181" s="117">
        <v>0</v>
      </c>
      <c r="AM181" s="117">
        <v>0</v>
      </c>
      <c r="AN181" s="117">
        <v>0</v>
      </c>
      <c r="AO181" s="150"/>
      <c r="AP181" s="117">
        <v>0</v>
      </c>
      <c r="AQ181" s="117">
        <v>0</v>
      </c>
      <c r="AR181" s="117">
        <v>0</v>
      </c>
      <c r="AS181" s="117">
        <v>0</v>
      </c>
      <c r="AT181" s="117">
        <v>0</v>
      </c>
      <c r="AU181" s="117">
        <v>0</v>
      </c>
      <c r="AV181" s="117">
        <v>0</v>
      </c>
      <c r="AW181" s="117">
        <v>0</v>
      </c>
      <c r="AX181" s="117">
        <v>0</v>
      </c>
      <c r="AY181" s="117">
        <v>0</v>
      </c>
      <c r="AZ181" s="117">
        <v>0</v>
      </c>
      <c r="BA181" s="117">
        <v>0</v>
      </c>
    </row>
    <row r="182" spans="1:53" s="138" customFormat="1" outlineLevel="2" x14ac:dyDescent="0.25">
      <c r="A182" s="138" t="s">
        <v>633</v>
      </c>
      <c r="B182" s="139" t="s">
        <v>634</v>
      </c>
      <c r="C182" s="140" t="s">
        <v>635</v>
      </c>
      <c r="D182" s="141"/>
      <c r="E182" s="142"/>
      <c r="F182" s="143">
        <v>-2.96</v>
      </c>
      <c r="G182" s="143">
        <v>363.32</v>
      </c>
      <c r="H182" s="144">
        <f t="shared" si="34"/>
        <v>-366.28</v>
      </c>
      <c r="I182" s="145">
        <f t="shared" si="35"/>
        <v>-1.0081470879665309</v>
      </c>
      <c r="J182" s="146"/>
      <c r="K182" s="143">
        <v>-2.96</v>
      </c>
      <c r="L182" s="143">
        <v>1520.58</v>
      </c>
      <c r="M182" s="144">
        <f t="shared" si="36"/>
        <v>-1523.54</v>
      </c>
      <c r="N182" s="145">
        <f t="shared" si="37"/>
        <v>-1.0019466256296941</v>
      </c>
      <c r="O182" s="147"/>
      <c r="P182" s="146"/>
      <c r="Q182" s="143">
        <v>3.13</v>
      </c>
      <c r="R182" s="143">
        <v>2083.39</v>
      </c>
      <c r="S182" s="144">
        <f t="shared" si="38"/>
        <v>-2080.2599999999998</v>
      </c>
      <c r="T182" s="145">
        <f t="shared" si="39"/>
        <v>-0.99849764086416848</v>
      </c>
      <c r="U182" s="146"/>
      <c r="V182" s="143">
        <v>-927.7</v>
      </c>
      <c r="W182" s="143">
        <v>-986.26000000000022</v>
      </c>
      <c r="X182" s="144">
        <f t="shared" si="40"/>
        <v>58.560000000000173</v>
      </c>
      <c r="Y182" s="145">
        <f t="shared" si="41"/>
        <v>5.9375823819277029E-2</v>
      </c>
      <c r="Z182" s="148"/>
      <c r="AA182" s="149">
        <v>562.81000000000006</v>
      </c>
      <c r="AB182" s="150"/>
      <c r="AC182" s="117">
        <v>1157.26</v>
      </c>
      <c r="AD182" s="117">
        <v>363.32</v>
      </c>
      <c r="AE182" s="117">
        <v>-145.54</v>
      </c>
      <c r="AF182" s="117">
        <v>3.24</v>
      </c>
      <c r="AG182" s="117">
        <v>49.06</v>
      </c>
      <c r="AH182" s="117">
        <v>19.809999999999999</v>
      </c>
      <c r="AI182" s="117">
        <v>0</v>
      </c>
      <c r="AJ182" s="117">
        <v>0</v>
      </c>
      <c r="AK182" s="117">
        <v>1.0900000000000001</v>
      </c>
      <c r="AL182" s="117">
        <v>4.7</v>
      </c>
      <c r="AM182" s="117">
        <v>-863.19</v>
      </c>
      <c r="AN182" s="117">
        <v>6.09</v>
      </c>
      <c r="AO182" s="150"/>
      <c r="AP182" s="117">
        <v>0</v>
      </c>
      <c r="AQ182" s="117">
        <v>-2.96</v>
      </c>
      <c r="AR182" s="117">
        <v>0</v>
      </c>
      <c r="AS182" s="117">
        <v>0</v>
      </c>
      <c r="AT182" s="117">
        <v>0</v>
      </c>
      <c r="AU182" s="117">
        <v>0</v>
      </c>
      <c r="AV182" s="117">
        <v>0</v>
      </c>
      <c r="AW182" s="117">
        <v>0</v>
      </c>
      <c r="AX182" s="117">
        <v>0</v>
      </c>
      <c r="AY182" s="117">
        <v>0</v>
      </c>
      <c r="AZ182" s="117">
        <v>0</v>
      </c>
      <c r="BA182" s="117">
        <v>0</v>
      </c>
    </row>
    <row r="183" spans="1:53" s="138" customFormat="1" outlineLevel="2" x14ac:dyDescent="0.25">
      <c r="A183" s="138" t="s">
        <v>636</v>
      </c>
      <c r="B183" s="139" t="s">
        <v>637</v>
      </c>
      <c r="C183" s="140" t="s">
        <v>638</v>
      </c>
      <c r="D183" s="141"/>
      <c r="E183" s="142"/>
      <c r="F183" s="143">
        <v>0</v>
      </c>
      <c r="G183" s="143">
        <v>584.91999999999996</v>
      </c>
      <c r="H183" s="144">
        <f t="shared" si="34"/>
        <v>-584.91999999999996</v>
      </c>
      <c r="I183" s="145" t="str">
        <f t="shared" si="35"/>
        <v>N.M.</v>
      </c>
      <c r="J183" s="146"/>
      <c r="K183" s="143">
        <v>0</v>
      </c>
      <c r="L183" s="143">
        <v>1169.82</v>
      </c>
      <c r="M183" s="144">
        <f t="shared" si="36"/>
        <v>-1169.82</v>
      </c>
      <c r="N183" s="145" t="str">
        <f t="shared" si="37"/>
        <v>N.M.</v>
      </c>
      <c r="O183" s="147"/>
      <c r="P183" s="146"/>
      <c r="Q183" s="143">
        <v>0</v>
      </c>
      <c r="R183" s="143">
        <v>5689.19</v>
      </c>
      <c r="S183" s="144">
        <f t="shared" si="38"/>
        <v>-5689.19</v>
      </c>
      <c r="T183" s="145" t="str">
        <f t="shared" si="39"/>
        <v>N.M.</v>
      </c>
      <c r="U183" s="146"/>
      <c r="V183" s="143">
        <v>1754.76</v>
      </c>
      <c r="W183" s="143">
        <v>49999.67</v>
      </c>
      <c r="X183" s="144">
        <f t="shared" si="40"/>
        <v>-48244.909999999996</v>
      </c>
      <c r="Y183" s="145">
        <f t="shared" si="41"/>
        <v>-0.96490456837015115</v>
      </c>
      <c r="Z183" s="148"/>
      <c r="AA183" s="149">
        <v>4519.37</v>
      </c>
      <c r="AB183" s="150"/>
      <c r="AC183" s="117">
        <v>584.9</v>
      </c>
      <c r="AD183" s="117">
        <v>584.91999999999996</v>
      </c>
      <c r="AE183" s="117">
        <v>584.91999999999996</v>
      </c>
      <c r="AF183" s="117">
        <v>584.91999999999996</v>
      </c>
      <c r="AG183" s="117">
        <v>584.91999999999996</v>
      </c>
      <c r="AH183" s="117">
        <v>0</v>
      </c>
      <c r="AI183" s="117">
        <v>0</v>
      </c>
      <c r="AJ183" s="117">
        <v>0</v>
      </c>
      <c r="AK183" s="117">
        <v>0</v>
      </c>
      <c r="AL183" s="117">
        <v>0</v>
      </c>
      <c r="AM183" s="117">
        <v>0</v>
      </c>
      <c r="AN183" s="117">
        <v>0</v>
      </c>
      <c r="AO183" s="150"/>
      <c r="AP183" s="117">
        <v>0</v>
      </c>
      <c r="AQ183" s="117">
        <v>0</v>
      </c>
      <c r="AR183" s="117">
        <v>0</v>
      </c>
      <c r="AS183" s="117">
        <v>0</v>
      </c>
      <c r="AT183" s="117">
        <v>0</v>
      </c>
      <c r="AU183" s="117">
        <v>0</v>
      </c>
      <c r="AV183" s="117">
        <v>0</v>
      </c>
      <c r="AW183" s="117">
        <v>0</v>
      </c>
      <c r="AX183" s="117">
        <v>0</v>
      </c>
      <c r="AY183" s="117">
        <v>0</v>
      </c>
      <c r="AZ183" s="117">
        <v>0</v>
      </c>
      <c r="BA183" s="117">
        <v>0</v>
      </c>
    </row>
    <row r="184" spans="1:53" s="138" customFormat="1" outlineLevel="2" x14ac:dyDescent="0.25">
      <c r="A184" s="138" t="s">
        <v>639</v>
      </c>
      <c r="B184" s="139" t="s">
        <v>640</v>
      </c>
      <c r="C184" s="140" t="s">
        <v>641</v>
      </c>
      <c r="D184" s="141"/>
      <c r="E184" s="142"/>
      <c r="F184" s="143">
        <v>0</v>
      </c>
      <c r="G184" s="143">
        <v>-258332.28</v>
      </c>
      <c r="H184" s="144">
        <f t="shared" si="34"/>
        <v>258332.28</v>
      </c>
      <c r="I184" s="145" t="str">
        <f t="shared" si="35"/>
        <v>N.M.</v>
      </c>
      <c r="J184" s="146"/>
      <c r="K184" s="143">
        <v>0</v>
      </c>
      <c r="L184" s="143">
        <v>0</v>
      </c>
      <c r="M184" s="144">
        <f t="shared" si="36"/>
        <v>0</v>
      </c>
      <c r="N184" s="145">
        <f t="shared" si="37"/>
        <v>0</v>
      </c>
      <c r="O184" s="147"/>
      <c r="P184" s="146"/>
      <c r="Q184" s="143">
        <v>0</v>
      </c>
      <c r="R184" s="143">
        <v>249725.54</v>
      </c>
      <c r="S184" s="144">
        <f t="shared" si="38"/>
        <v>-249725.54</v>
      </c>
      <c r="T184" s="145" t="str">
        <f t="shared" si="39"/>
        <v>N.M.</v>
      </c>
      <c r="U184" s="146"/>
      <c r="V184" s="143">
        <v>0</v>
      </c>
      <c r="W184" s="143">
        <v>1539330.13</v>
      </c>
      <c r="X184" s="144">
        <f t="shared" si="40"/>
        <v>-1539330.13</v>
      </c>
      <c r="Y184" s="145" t="str">
        <f t="shared" si="41"/>
        <v>N.M.</v>
      </c>
      <c r="Z184" s="148"/>
      <c r="AA184" s="149">
        <v>249725.54</v>
      </c>
      <c r="AB184" s="150"/>
      <c r="AC184" s="117">
        <v>258332.28</v>
      </c>
      <c r="AD184" s="117">
        <v>-258332.28</v>
      </c>
      <c r="AE184" s="117">
        <v>0</v>
      </c>
      <c r="AF184" s="117">
        <v>0</v>
      </c>
      <c r="AG184" s="117">
        <v>0</v>
      </c>
      <c r="AH184" s="117">
        <v>0</v>
      </c>
      <c r="AI184" s="117">
        <v>0</v>
      </c>
      <c r="AJ184" s="117">
        <v>0</v>
      </c>
      <c r="AK184" s="117">
        <v>0</v>
      </c>
      <c r="AL184" s="117">
        <v>0</v>
      </c>
      <c r="AM184" s="117">
        <v>0</v>
      </c>
      <c r="AN184" s="117">
        <v>0</v>
      </c>
      <c r="AO184" s="150"/>
      <c r="AP184" s="117">
        <v>0</v>
      </c>
      <c r="AQ184" s="117">
        <v>0</v>
      </c>
      <c r="AR184" s="117">
        <v>0</v>
      </c>
      <c r="AS184" s="117">
        <v>0</v>
      </c>
      <c r="AT184" s="117">
        <v>0</v>
      </c>
      <c r="AU184" s="117">
        <v>0</v>
      </c>
      <c r="AV184" s="117">
        <v>0</v>
      </c>
      <c r="AW184" s="117">
        <v>0</v>
      </c>
      <c r="AX184" s="117">
        <v>0</v>
      </c>
      <c r="AY184" s="117">
        <v>0</v>
      </c>
      <c r="AZ184" s="117">
        <v>0</v>
      </c>
      <c r="BA184" s="117">
        <v>0</v>
      </c>
    </row>
    <row r="185" spans="1:53" s="138" customFormat="1" outlineLevel="2" x14ac:dyDescent="0.25">
      <c r="A185" s="138" t="s">
        <v>642</v>
      </c>
      <c r="B185" s="139" t="s">
        <v>643</v>
      </c>
      <c r="C185" s="140" t="s">
        <v>306</v>
      </c>
      <c r="D185" s="141"/>
      <c r="E185" s="142"/>
      <c r="F185" s="143">
        <v>24883.170000000002</v>
      </c>
      <c r="G185" s="143">
        <v>88997.14</v>
      </c>
      <c r="H185" s="144">
        <f t="shared" si="34"/>
        <v>-64113.97</v>
      </c>
      <c r="I185" s="145">
        <f t="shared" si="35"/>
        <v>-0.72040483548123013</v>
      </c>
      <c r="J185" s="146"/>
      <c r="K185" s="143">
        <v>98875.35</v>
      </c>
      <c r="L185" s="143">
        <v>178169.60000000001</v>
      </c>
      <c r="M185" s="144">
        <f t="shared" si="36"/>
        <v>-79294.25</v>
      </c>
      <c r="N185" s="145">
        <f t="shared" si="37"/>
        <v>-0.44504926766406838</v>
      </c>
      <c r="O185" s="147"/>
      <c r="P185" s="146"/>
      <c r="Q185" s="143">
        <v>168039.05</v>
      </c>
      <c r="R185" s="143">
        <v>257202.87</v>
      </c>
      <c r="S185" s="144">
        <f t="shared" si="38"/>
        <v>-89163.82</v>
      </c>
      <c r="T185" s="145">
        <f t="shared" si="39"/>
        <v>-0.3466672825229361</v>
      </c>
      <c r="U185" s="146"/>
      <c r="V185" s="143">
        <v>650456.53</v>
      </c>
      <c r="W185" s="143">
        <v>1816246.1600000001</v>
      </c>
      <c r="X185" s="144">
        <f t="shared" si="40"/>
        <v>-1165789.6300000001</v>
      </c>
      <c r="Y185" s="145">
        <f t="shared" si="41"/>
        <v>-0.64186763648821699</v>
      </c>
      <c r="Z185" s="148"/>
      <c r="AA185" s="149">
        <v>79033.27</v>
      </c>
      <c r="AB185" s="150"/>
      <c r="AC185" s="117">
        <v>89172.46</v>
      </c>
      <c r="AD185" s="117">
        <v>88997.14</v>
      </c>
      <c r="AE185" s="117">
        <v>70739.97</v>
      </c>
      <c r="AF185" s="117">
        <v>51285.440000000002</v>
      </c>
      <c r="AG185" s="117">
        <v>30294.02</v>
      </c>
      <c r="AH185" s="117">
        <v>54217.07</v>
      </c>
      <c r="AI185" s="117">
        <v>50486.130000000005</v>
      </c>
      <c r="AJ185" s="117">
        <v>70441.36</v>
      </c>
      <c r="AK185" s="117">
        <v>49596.87</v>
      </c>
      <c r="AL185" s="117">
        <v>60717.33</v>
      </c>
      <c r="AM185" s="117">
        <v>44639.29</v>
      </c>
      <c r="AN185" s="117">
        <v>69163.7</v>
      </c>
      <c r="AO185" s="150"/>
      <c r="AP185" s="117">
        <v>73992.180000000008</v>
      </c>
      <c r="AQ185" s="117">
        <v>24883.170000000002</v>
      </c>
      <c r="AR185" s="117">
        <v>-2969.2000000000003</v>
      </c>
      <c r="AS185" s="117">
        <v>0</v>
      </c>
      <c r="AT185" s="117">
        <v>0</v>
      </c>
      <c r="AU185" s="117">
        <v>0</v>
      </c>
      <c r="AV185" s="117">
        <v>0</v>
      </c>
      <c r="AW185" s="117">
        <v>0</v>
      </c>
      <c r="AX185" s="117">
        <v>0</v>
      </c>
      <c r="AY185" s="117">
        <v>0</v>
      </c>
      <c r="AZ185" s="117">
        <v>0</v>
      </c>
      <c r="BA185" s="117">
        <v>0</v>
      </c>
    </row>
    <row r="186" spans="1:53" s="138" customFormat="1" outlineLevel="2" x14ac:dyDescent="0.25">
      <c r="A186" s="138" t="s">
        <v>644</v>
      </c>
      <c r="B186" s="139" t="s">
        <v>645</v>
      </c>
      <c r="C186" s="140" t="s">
        <v>646</v>
      </c>
      <c r="D186" s="141"/>
      <c r="E186" s="142"/>
      <c r="F186" s="143">
        <v>206686.4</v>
      </c>
      <c r="G186" s="143">
        <v>-64202.86</v>
      </c>
      <c r="H186" s="144">
        <f t="shared" si="34"/>
        <v>270889.26</v>
      </c>
      <c r="I186" s="145">
        <f t="shared" si="35"/>
        <v>4.2192709172145912</v>
      </c>
      <c r="J186" s="146"/>
      <c r="K186" s="143">
        <v>425336.32000000001</v>
      </c>
      <c r="L186" s="143">
        <v>-117138.65000000001</v>
      </c>
      <c r="M186" s="144">
        <f t="shared" si="36"/>
        <v>542474.97</v>
      </c>
      <c r="N186" s="145">
        <f t="shared" si="37"/>
        <v>4.6310502127180051</v>
      </c>
      <c r="O186" s="147"/>
      <c r="P186" s="146"/>
      <c r="Q186" s="143">
        <v>809557.77</v>
      </c>
      <c r="R186" s="143">
        <v>200505.95</v>
      </c>
      <c r="S186" s="144">
        <f t="shared" si="38"/>
        <v>609051.82000000007</v>
      </c>
      <c r="T186" s="145">
        <f t="shared" si="39"/>
        <v>3.0375747951619392</v>
      </c>
      <c r="U186" s="146"/>
      <c r="V186" s="143">
        <v>2609063.19</v>
      </c>
      <c r="W186" s="143">
        <v>5061437.42</v>
      </c>
      <c r="X186" s="144">
        <f t="shared" si="40"/>
        <v>-2452374.23</v>
      </c>
      <c r="Y186" s="145">
        <f t="shared" si="41"/>
        <v>-0.48452129829948587</v>
      </c>
      <c r="Z186" s="148"/>
      <c r="AA186" s="149">
        <v>317644.60000000003</v>
      </c>
      <c r="AB186" s="150"/>
      <c r="AC186" s="117">
        <v>-52935.79</v>
      </c>
      <c r="AD186" s="117">
        <v>-64202.86</v>
      </c>
      <c r="AE186" s="117">
        <v>287509.21000000002</v>
      </c>
      <c r="AF186" s="117">
        <v>258861.08000000002</v>
      </c>
      <c r="AG186" s="117">
        <v>102833.04000000001</v>
      </c>
      <c r="AH186" s="117">
        <v>144508.45000000001</v>
      </c>
      <c r="AI186" s="117">
        <v>120636.15000000001</v>
      </c>
      <c r="AJ186" s="117">
        <v>-14509.26</v>
      </c>
      <c r="AK186" s="117">
        <v>197681.92000000001</v>
      </c>
      <c r="AL186" s="117">
        <v>504642.51</v>
      </c>
      <c r="AM186" s="117">
        <v>197342.32</v>
      </c>
      <c r="AN186" s="117">
        <v>384221.45</v>
      </c>
      <c r="AO186" s="150"/>
      <c r="AP186" s="117">
        <v>218649.92</v>
      </c>
      <c r="AQ186" s="117">
        <v>206686.4</v>
      </c>
      <c r="AR186" s="117">
        <v>0</v>
      </c>
      <c r="AS186" s="117">
        <v>0</v>
      </c>
      <c r="AT186" s="117">
        <v>0</v>
      </c>
      <c r="AU186" s="117">
        <v>0</v>
      </c>
      <c r="AV186" s="117">
        <v>0</v>
      </c>
      <c r="AW186" s="117">
        <v>0</v>
      </c>
      <c r="AX186" s="117">
        <v>0</v>
      </c>
      <c r="AY186" s="117">
        <v>0</v>
      </c>
      <c r="AZ186" s="117">
        <v>0</v>
      </c>
      <c r="BA186" s="117">
        <v>0</v>
      </c>
    </row>
    <row r="187" spans="1:53" s="138" customFormat="1" outlineLevel="2" x14ac:dyDescent="0.25">
      <c r="A187" s="138" t="s">
        <v>647</v>
      </c>
      <c r="B187" s="139" t="s">
        <v>648</v>
      </c>
      <c r="C187" s="140" t="s">
        <v>649</v>
      </c>
      <c r="D187" s="141"/>
      <c r="E187" s="142"/>
      <c r="F187" s="143">
        <v>-215418.59</v>
      </c>
      <c r="G187" s="143">
        <v>-178214.56</v>
      </c>
      <c r="H187" s="144">
        <f t="shared" si="34"/>
        <v>-37204.03</v>
      </c>
      <c r="I187" s="145">
        <f t="shared" si="35"/>
        <v>-0.20875976687875558</v>
      </c>
      <c r="J187" s="146"/>
      <c r="K187" s="143">
        <v>-529263.32000000007</v>
      </c>
      <c r="L187" s="143">
        <v>-550625.06000000006</v>
      </c>
      <c r="M187" s="144">
        <f t="shared" si="36"/>
        <v>21361.739999999991</v>
      </c>
      <c r="N187" s="145">
        <f t="shared" si="37"/>
        <v>3.8795437316274689E-2</v>
      </c>
      <c r="O187" s="147"/>
      <c r="P187" s="146"/>
      <c r="Q187" s="143">
        <v>-834132.37000000011</v>
      </c>
      <c r="R187" s="143">
        <v>-715603.02</v>
      </c>
      <c r="S187" s="144">
        <f t="shared" si="38"/>
        <v>-118529.35000000009</v>
      </c>
      <c r="T187" s="145">
        <f t="shared" si="39"/>
        <v>-0.16563562015151934</v>
      </c>
      <c r="U187" s="146"/>
      <c r="V187" s="143">
        <v>-2793873.49</v>
      </c>
      <c r="W187" s="143">
        <v>-5401380.620000001</v>
      </c>
      <c r="X187" s="144">
        <f t="shared" si="40"/>
        <v>2607507.1300000008</v>
      </c>
      <c r="Y187" s="145">
        <f t="shared" si="41"/>
        <v>0.48274826631269696</v>
      </c>
      <c r="Z187" s="148"/>
      <c r="AA187" s="149">
        <v>-164977.96</v>
      </c>
      <c r="AB187" s="150"/>
      <c r="AC187" s="117">
        <v>-372410.5</v>
      </c>
      <c r="AD187" s="117">
        <v>-178214.56</v>
      </c>
      <c r="AE187" s="117">
        <v>-178019.74</v>
      </c>
      <c r="AF187" s="117">
        <v>-318205.16000000003</v>
      </c>
      <c r="AG187" s="117">
        <v>-231841.71</v>
      </c>
      <c r="AH187" s="117">
        <v>-160267.94</v>
      </c>
      <c r="AI187" s="117">
        <v>-102828.46</v>
      </c>
      <c r="AJ187" s="117">
        <v>-129758.58</v>
      </c>
      <c r="AK187" s="117">
        <v>-229927.59</v>
      </c>
      <c r="AL187" s="117">
        <v>-381879.43</v>
      </c>
      <c r="AM187" s="117">
        <v>-227012.51</v>
      </c>
      <c r="AN187" s="117">
        <v>-304869.05</v>
      </c>
      <c r="AO187" s="150"/>
      <c r="AP187" s="117">
        <v>-313844.73</v>
      </c>
      <c r="AQ187" s="117">
        <v>-215418.59</v>
      </c>
      <c r="AR187" s="117">
        <v>0</v>
      </c>
      <c r="AS187" s="117">
        <v>0</v>
      </c>
      <c r="AT187" s="117">
        <v>0</v>
      </c>
      <c r="AU187" s="117">
        <v>0</v>
      </c>
      <c r="AV187" s="117">
        <v>0</v>
      </c>
      <c r="AW187" s="117">
        <v>0</v>
      </c>
      <c r="AX187" s="117">
        <v>0</v>
      </c>
      <c r="AY187" s="117">
        <v>0</v>
      </c>
      <c r="AZ187" s="117">
        <v>0</v>
      </c>
      <c r="BA187" s="117">
        <v>0</v>
      </c>
    </row>
    <row r="188" spans="1:53" s="138" customFormat="1" outlineLevel="2" x14ac:dyDescent="0.25">
      <c r="A188" s="138" t="s">
        <v>650</v>
      </c>
      <c r="B188" s="139" t="s">
        <v>651</v>
      </c>
      <c r="C188" s="140" t="s">
        <v>303</v>
      </c>
      <c r="D188" s="141"/>
      <c r="E188" s="142"/>
      <c r="F188" s="143">
        <v>-7195.9400000000005</v>
      </c>
      <c r="G188" s="143">
        <v>-1299.1000000000001</v>
      </c>
      <c r="H188" s="144">
        <f t="shared" si="34"/>
        <v>-5896.84</v>
      </c>
      <c r="I188" s="145">
        <f t="shared" si="35"/>
        <v>-4.5391732738049413</v>
      </c>
      <c r="J188" s="146"/>
      <c r="K188" s="143">
        <v>-59483.21</v>
      </c>
      <c r="L188" s="143">
        <v>-1505</v>
      </c>
      <c r="M188" s="144">
        <f t="shared" si="36"/>
        <v>-57978.21</v>
      </c>
      <c r="N188" s="145" t="str">
        <f t="shared" si="37"/>
        <v>N.M.</v>
      </c>
      <c r="O188" s="147"/>
      <c r="P188" s="146"/>
      <c r="Q188" s="143">
        <v>-70056.7</v>
      </c>
      <c r="R188" s="143">
        <v>1911.8899999999999</v>
      </c>
      <c r="S188" s="144">
        <f t="shared" si="38"/>
        <v>-71968.59</v>
      </c>
      <c r="T188" s="145" t="str">
        <f t="shared" si="39"/>
        <v>N.M.</v>
      </c>
      <c r="U188" s="146"/>
      <c r="V188" s="143">
        <v>-237271.09</v>
      </c>
      <c r="W188" s="143">
        <v>-188537.03</v>
      </c>
      <c r="X188" s="144">
        <f t="shared" si="40"/>
        <v>-48734.06</v>
      </c>
      <c r="Y188" s="145">
        <f t="shared" si="41"/>
        <v>-0.25848534900544468</v>
      </c>
      <c r="Z188" s="148"/>
      <c r="AA188" s="149">
        <v>3416.89</v>
      </c>
      <c r="AB188" s="150"/>
      <c r="AC188" s="117">
        <v>-205.9</v>
      </c>
      <c r="AD188" s="117">
        <v>-1299.1000000000001</v>
      </c>
      <c r="AE188" s="117">
        <v>-2241.2000000000003</v>
      </c>
      <c r="AF188" s="117">
        <v>-2013.56</v>
      </c>
      <c r="AG188" s="117">
        <v>-1474.74</v>
      </c>
      <c r="AH188" s="117">
        <v>-8851.82</v>
      </c>
      <c r="AI188" s="117">
        <v>-15627.02</v>
      </c>
      <c r="AJ188" s="117">
        <v>-87495</v>
      </c>
      <c r="AK188" s="117">
        <v>-36105.200000000004</v>
      </c>
      <c r="AL188" s="117">
        <v>-33048.18</v>
      </c>
      <c r="AM188" s="117">
        <v>19642.330000000002</v>
      </c>
      <c r="AN188" s="117">
        <v>-10573.49</v>
      </c>
      <c r="AO188" s="150"/>
      <c r="AP188" s="117">
        <v>-52287.270000000004</v>
      </c>
      <c r="AQ188" s="117">
        <v>-7195.9400000000005</v>
      </c>
      <c r="AR188" s="117">
        <v>0</v>
      </c>
      <c r="AS188" s="117">
        <v>0</v>
      </c>
      <c r="AT188" s="117">
        <v>0</v>
      </c>
      <c r="AU188" s="117">
        <v>0</v>
      </c>
      <c r="AV188" s="117">
        <v>0</v>
      </c>
      <c r="AW188" s="117">
        <v>0</v>
      </c>
      <c r="AX188" s="117">
        <v>0</v>
      </c>
      <c r="AY188" s="117">
        <v>0</v>
      </c>
      <c r="AZ188" s="117">
        <v>0</v>
      </c>
      <c r="BA188" s="117">
        <v>0</v>
      </c>
    </row>
    <row r="189" spans="1:53" s="138" customFormat="1" outlineLevel="2" x14ac:dyDescent="0.25">
      <c r="A189" s="138" t="s">
        <v>652</v>
      </c>
      <c r="B189" s="139" t="s">
        <v>653</v>
      </c>
      <c r="C189" s="140" t="s">
        <v>654</v>
      </c>
      <c r="D189" s="141"/>
      <c r="E189" s="142"/>
      <c r="F189" s="143">
        <v>-450016</v>
      </c>
      <c r="G189" s="143">
        <v>200961</v>
      </c>
      <c r="H189" s="144">
        <f t="shared" si="34"/>
        <v>-650977</v>
      </c>
      <c r="I189" s="145">
        <f t="shared" si="35"/>
        <v>-3.2393200670776916</v>
      </c>
      <c r="J189" s="146"/>
      <c r="K189" s="143">
        <v>-551714</v>
      </c>
      <c r="L189" s="143">
        <v>21224</v>
      </c>
      <c r="M189" s="144">
        <f t="shared" si="36"/>
        <v>-572938</v>
      </c>
      <c r="N189" s="145" t="str">
        <f t="shared" si="37"/>
        <v>N.M.</v>
      </c>
      <c r="O189" s="147"/>
      <c r="P189" s="146"/>
      <c r="Q189" s="143">
        <v>-495834</v>
      </c>
      <c r="R189" s="143">
        <v>-187216</v>
      </c>
      <c r="S189" s="144">
        <f t="shared" si="38"/>
        <v>-308618</v>
      </c>
      <c r="T189" s="145">
        <f t="shared" si="39"/>
        <v>-1.6484595333732159</v>
      </c>
      <c r="U189" s="146"/>
      <c r="V189" s="143">
        <v>-372542</v>
      </c>
      <c r="W189" s="143">
        <v>-211406</v>
      </c>
      <c r="X189" s="144">
        <f t="shared" si="40"/>
        <v>-161136</v>
      </c>
      <c r="Y189" s="145">
        <f t="shared" si="41"/>
        <v>-0.76221110091482736</v>
      </c>
      <c r="Z189" s="148"/>
      <c r="AA189" s="149">
        <v>-208440</v>
      </c>
      <c r="AB189" s="150"/>
      <c r="AC189" s="117">
        <v>-179737</v>
      </c>
      <c r="AD189" s="117">
        <v>200961</v>
      </c>
      <c r="AE189" s="117">
        <v>191935</v>
      </c>
      <c r="AF189" s="117">
        <v>14584</v>
      </c>
      <c r="AG189" s="117">
        <v>1943</v>
      </c>
      <c r="AH189" s="117">
        <v>-1519</v>
      </c>
      <c r="AI189" s="117">
        <v>-1377</v>
      </c>
      <c r="AJ189" s="117">
        <v>7091</v>
      </c>
      <c r="AK189" s="117">
        <v>-142034</v>
      </c>
      <c r="AL189" s="117">
        <v>-41171</v>
      </c>
      <c r="AM189" s="117">
        <v>93840</v>
      </c>
      <c r="AN189" s="117">
        <v>55880</v>
      </c>
      <c r="AO189" s="150"/>
      <c r="AP189" s="117">
        <v>-101698</v>
      </c>
      <c r="AQ189" s="117">
        <v>-450016</v>
      </c>
      <c r="AR189" s="117">
        <v>140627</v>
      </c>
      <c r="AS189" s="117">
        <v>443321</v>
      </c>
      <c r="AT189" s="117">
        <v>0</v>
      </c>
      <c r="AU189" s="117">
        <v>0</v>
      </c>
      <c r="AV189" s="117">
        <v>0</v>
      </c>
      <c r="AW189" s="117">
        <v>0</v>
      </c>
      <c r="AX189" s="117">
        <v>0</v>
      </c>
      <c r="AY189" s="117">
        <v>0</v>
      </c>
      <c r="AZ189" s="117">
        <v>0</v>
      </c>
      <c r="BA189" s="117">
        <v>0</v>
      </c>
    </row>
    <row r="190" spans="1:53" s="138" customFormat="1" outlineLevel="2" x14ac:dyDescent="0.25">
      <c r="A190" s="138" t="s">
        <v>655</v>
      </c>
      <c r="B190" s="139" t="s">
        <v>123</v>
      </c>
      <c r="C190" s="140" t="s">
        <v>114</v>
      </c>
      <c r="D190" s="141"/>
      <c r="E190" s="142"/>
      <c r="F190" s="143">
        <v>133459.69</v>
      </c>
      <c r="G190" s="143">
        <v>54420.54</v>
      </c>
      <c r="H190" s="144">
        <f t="shared" si="34"/>
        <v>79039.149999999994</v>
      </c>
      <c r="I190" s="145">
        <f t="shared" si="35"/>
        <v>1.4523771722956074</v>
      </c>
      <c r="J190" s="146"/>
      <c r="K190" s="143">
        <v>186343.99</v>
      </c>
      <c r="L190" s="143">
        <v>192803.39</v>
      </c>
      <c r="M190" s="144">
        <f t="shared" si="36"/>
        <v>-6459.4000000000233</v>
      </c>
      <c r="N190" s="145">
        <f t="shared" si="37"/>
        <v>-3.3502522958751002E-2</v>
      </c>
      <c r="O190" s="147"/>
      <c r="P190" s="146"/>
      <c r="Q190" s="143">
        <v>446825.48</v>
      </c>
      <c r="R190" s="143">
        <v>623907.39</v>
      </c>
      <c r="S190" s="144">
        <f t="shared" si="38"/>
        <v>-177081.91000000003</v>
      </c>
      <c r="T190" s="145">
        <f t="shared" si="39"/>
        <v>-0.28382723596205522</v>
      </c>
      <c r="U190" s="146"/>
      <c r="V190" s="143">
        <v>-22880.24000000002</v>
      </c>
      <c r="W190" s="143">
        <v>-1117795.6099999999</v>
      </c>
      <c r="X190" s="144">
        <f t="shared" si="40"/>
        <v>1094915.3699999999</v>
      </c>
      <c r="Y190" s="145">
        <f t="shared" si="41"/>
        <v>0.97953092694647459</v>
      </c>
      <c r="Z190" s="148"/>
      <c r="AA190" s="149">
        <v>431104</v>
      </c>
      <c r="AB190" s="150"/>
      <c r="AC190" s="117">
        <v>138382.85</v>
      </c>
      <c r="AD190" s="117">
        <v>54420.54</v>
      </c>
      <c r="AE190" s="117">
        <v>168332.43</v>
      </c>
      <c r="AF190" s="117">
        <v>-355162.62</v>
      </c>
      <c r="AG190" s="117">
        <v>-344434.88</v>
      </c>
      <c r="AH190" s="117">
        <v>179656.11000000002</v>
      </c>
      <c r="AI190" s="117">
        <v>174275.13</v>
      </c>
      <c r="AJ190" s="117">
        <v>52601.82</v>
      </c>
      <c r="AK190" s="117">
        <v>120620.17</v>
      </c>
      <c r="AL190" s="117">
        <v>-220197.35</v>
      </c>
      <c r="AM190" s="117">
        <v>-245396.53</v>
      </c>
      <c r="AN190" s="117">
        <v>260481.49000000002</v>
      </c>
      <c r="AO190" s="150"/>
      <c r="AP190" s="117">
        <v>52884.3</v>
      </c>
      <c r="AQ190" s="117">
        <v>133459.69</v>
      </c>
      <c r="AR190" s="117">
        <v>1229734.6499999999</v>
      </c>
      <c r="AS190" s="117">
        <v>-89058.8</v>
      </c>
      <c r="AT190" s="117">
        <v>0</v>
      </c>
      <c r="AU190" s="117">
        <v>0</v>
      </c>
      <c r="AV190" s="117">
        <v>0</v>
      </c>
      <c r="AW190" s="117">
        <v>0</v>
      </c>
      <c r="AX190" s="117">
        <v>0</v>
      </c>
      <c r="AY190" s="117">
        <v>0</v>
      </c>
      <c r="AZ190" s="117">
        <v>0</v>
      </c>
      <c r="BA190" s="117">
        <v>0</v>
      </c>
    </row>
    <row r="191" spans="1:53" s="138" customFormat="1" outlineLevel="2" x14ac:dyDescent="0.25">
      <c r="A191" s="138" t="s">
        <v>656</v>
      </c>
      <c r="B191" s="139" t="s">
        <v>657</v>
      </c>
      <c r="C191" s="140" t="s">
        <v>658</v>
      </c>
      <c r="D191" s="141"/>
      <c r="E191" s="142"/>
      <c r="F191" s="143">
        <v>-83378.66</v>
      </c>
      <c r="G191" s="143">
        <v>17.260000000000002</v>
      </c>
      <c r="H191" s="144">
        <f t="shared" si="34"/>
        <v>-83395.92</v>
      </c>
      <c r="I191" s="145" t="str">
        <f t="shared" si="35"/>
        <v>N.M.</v>
      </c>
      <c r="J191" s="146"/>
      <c r="K191" s="143">
        <v>135028.65</v>
      </c>
      <c r="L191" s="143">
        <v>14.85</v>
      </c>
      <c r="M191" s="144">
        <f t="shared" si="36"/>
        <v>135013.79999999999</v>
      </c>
      <c r="N191" s="145" t="str">
        <f t="shared" si="37"/>
        <v>N.M.</v>
      </c>
      <c r="O191" s="147"/>
      <c r="P191" s="146"/>
      <c r="Q191" s="143">
        <v>-103410.6</v>
      </c>
      <c r="R191" s="143">
        <v>-107928.17</v>
      </c>
      <c r="S191" s="144">
        <f t="shared" si="38"/>
        <v>4517.5699999999924</v>
      </c>
      <c r="T191" s="145">
        <f t="shared" si="39"/>
        <v>4.1857190759372574E-2</v>
      </c>
      <c r="U191" s="146"/>
      <c r="V191" s="143">
        <v>2383768.04</v>
      </c>
      <c r="W191" s="143">
        <v>-107928.17</v>
      </c>
      <c r="X191" s="144">
        <f t="shared" si="40"/>
        <v>2491696.21</v>
      </c>
      <c r="Y191" s="145" t="str">
        <f t="shared" si="41"/>
        <v>N.M.</v>
      </c>
      <c r="Z191" s="148"/>
      <c r="AA191" s="149">
        <v>-107943.02</v>
      </c>
      <c r="AB191" s="150"/>
      <c r="AC191" s="117">
        <v>-2.41</v>
      </c>
      <c r="AD191" s="117">
        <v>17.260000000000002</v>
      </c>
      <c r="AE191" s="117">
        <v>-548.62</v>
      </c>
      <c r="AF191" s="117">
        <v>6.91</v>
      </c>
      <c r="AG191" s="117">
        <v>1312.26</v>
      </c>
      <c r="AH191" s="117">
        <v>2623098.63</v>
      </c>
      <c r="AI191" s="117">
        <v>304752.10000000003</v>
      </c>
      <c r="AJ191" s="117">
        <v>-230460.98</v>
      </c>
      <c r="AK191" s="117">
        <v>-81614.63</v>
      </c>
      <c r="AL191" s="117">
        <v>-70811.820000000007</v>
      </c>
      <c r="AM191" s="117">
        <v>-58555.21</v>
      </c>
      <c r="AN191" s="117">
        <v>-238439.25</v>
      </c>
      <c r="AO191" s="150"/>
      <c r="AP191" s="117">
        <v>218407.31</v>
      </c>
      <c r="AQ191" s="117">
        <v>-83378.66</v>
      </c>
      <c r="AR191" s="117">
        <v>0</v>
      </c>
      <c r="AS191" s="117">
        <v>0</v>
      </c>
      <c r="AT191" s="117">
        <v>0</v>
      </c>
      <c r="AU191" s="117">
        <v>0</v>
      </c>
      <c r="AV191" s="117">
        <v>0</v>
      </c>
      <c r="AW191" s="117">
        <v>0</v>
      </c>
      <c r="AX191" s="117">
        <v>0</v>
      </c>
      <c r="AY191" s="117">
        <v>0</v>
      </c>
      <c r="AZ191" s="117">
        <v>0</v>
      </c>
      <c r="BA191" s="117">
        <v>0</v>
      </c>
    </row>
    <row r="192" spans="1:53" s="138" customFormat="1" outlineLevel="2" x14ac:dyDescent="0.25">
      <c r="A192" s="138" t="s">
        <v>659</v>
      </c>
      <c r="B192" s="139" t="s">
        <v>660</v>
      </c>
      <c r="C192" s="140" t="s">
        <v>661</v>
      </c>
      <c r="D192" s="141"/>
      <c r="E192" s="142"/>
      <c r="F192" s="143">
        <v>407873.99</v>
      </c>
      <c r="G192" s="143">
        <v>868626.29</v>
      </c>
      <c r="H192" s="144">
        <f t="shared" si="34"/>
        <v>-460752.30000000005</v>
      </c>
      <c r="I192" s="145">
        <f t="shared" si="35"/>
        <v>-0.53043789406834563</v>
      </c>
      <c r="J192" s="146"/>
      <c r="K192" s="143">
        <v>1150771.8700000001</v>
      </c>
      <c r="L192" s="143">
        <v>2035927.19</v>
      </c>
      <c r="M192" s="144">
        <f t="shared" si="36"/>
        <v>-885155.31999999983</v>
      </c>
      <c r="N192" s="145">
        <f t="shared" si="37"/>
        <v>-0.43476766966307862</v>
      </c>
      <c r="O192" s="147"/>
      <c r="P192" s="146"/>
      <c r="Q192" s="143">
        <v>2141903.7400000002</v>
      </c>
      <c r="R192" s="143">
        <v>2534664.7399999998</v>
      </c>
      <c r="S192" s="144">
        <f t="shared" si="38"/>
        <v>-392760.99999999953</v>
      </c>
      <c r="T192" s="145">
        <f t="shared" si="39"/>
        <v>-0.15495579900638046</v>
      </c>
      <c r="U192" s="146"/>
      <c r="V192" s="143">
        <v>7073194.6900000004</v>
      </c>
      <c r="W192" s="143">
        <v>8696014.3800000008</v>
      </c>
      <c r="X192" s="144">
        <f t="shared" si="40"/>
        <v>-1622819.6900000004</v>
      </c>
      <c r="Y192" s="145">
        <f t="shared" si="41"/>
        <v>-0.18661649108266543</v>
      </c>
      <c r="Z192" s="148"/>
      <c r="AA192" s="149">
        <v>498737.55</v>
      </c>
      <c r="AB192" s="150"/>
      <c r="AC192" s="117">
        <v>1167300.8999999999</v>
      </c>
      <c r="AD192" s="117">
        <v>868626.29</v>
      </c>
      <c r="AE192" s="117">
        <v>365771.5</v>
      </c>
      <c r="AF192" s="117">
        <v>433095.46</v>
      </c>
      <c r="AG192" s="117">
        <v>319263.07</v>
      </c>
      <c r="AH192" s="117">
        <v>649799.24</v>
      </c>
      <c r="AI192" s="117">
        <v>882305.70000000007</v>
      </c>
      <c r="AJ192" s="117">
        <v>857199.6</v>
      </c>
      <c r="AK192" s="117">
        <v>513771.88</v>
      </c>
      <c r="AL192" s="117">
        <v>350159.88</v>
      </c>
      <c r="AM192" s="117">
        <v>559924.62</v>
      </c>
      <c r="AN192" s="117">
        <v>991131.87</v>
      </c>
      <c r="AO192" s="150"/>
      <c r="AP192" s="117">
        <v>742897.88</v>
      </c>
      <c r="AQ192" s="117">
        <v>407873.99</v>
      </c>
      <c r="AR192" s="117">
        <v>0</v>
      </c>
      <c r="AS192" s="117">
        <v>0</v>
      </c>
      <c r="AT192" s="117">
        <v>0</v>
      </c>
      <c r="AU192" s="117">
        <v>0</v>
      </c>
      <c r="AV192" s="117">
        <v>0</v>
      </c>
      <c r="AW192" s="117">
        <v>0</v>
      </c>
      <c r="AX192" s="117">
        <v>0</v>
      </c>
      <c r="AY192" s="117">
        <v>0</v>
      </c>
      <c r="AZ192" s="117">
        <v>0</v>
      </c>
      <c r="BA192" s="117">
        <v>0</v>
      </c>
    </row>
    <row r="193" spans="1:53" s="138" customFormat="1" outlineLevel="2" x14ac:dyDescent="0.25">
      <c r="A193" s="138" t="s">
        <v>662</v>
      </c>
      <c r="B193" s="139" t="s">
        <v>663</v>
      </c>
      <c r="C193" s="140" t="s">
        <v>664</v>
      </c>
      <c r="D193" s="141"/>
      <c r="E193" s="142"/>
      <c r="F193" s="143">
        <v>-112793.49</v>
      </c>
      <c r="G193" s="143">
        <v>-179569.03</v>
      </c>
      <c r="H193" s="144">
        <f t="shared" si="34"/>
        <v>66775.539999999994</v>
      </c>
      <c r="I193" s="145">
        <f t="shared" si="35"/>
        <v>0.37186557169685658</v>
      </c>
      <c r="J193" s="146"/>
      <c r="K193" s="143">
        <v>-228717.82</v>
      </c>
      <c r="L193" s="143">
        <v>-390889.89</v>
      </c>
      <c r="M193" s="144">
        <f t="shared" si="36"/>
        <v>162172.07</v>
      </c>
      <c r="N193" s="145">
        <f t="shared" si="37"/>
        <v>0.41487916200646685</v>
      </c>
      <c r="O193" s="147"/>
      <c r="P193" s="146"/>
      <c r="Q193" s="143">
        <v>-347539</v>
      </c>
      <c r="R193" s="143">
        <v>-519083.32</v>
      </c>
      <c r="S193" s="144">
        <f t="shared" si="38"/>
        <v>171544.32000000001</v>
      </c>
      <c r="T193" s="145">
        <f t="shared" si="39"/>
        <v>0.33047550054199393</v>
      </c>
      <c r="U193" s="146"/>
      <c r="V193" s="143">
        <v>-1371801.36</v>
      </c>
      <c r="W193" s="143">
        <v>-1831061.7400000002</v>
      </c>
      <c r="X193" s="144">
        <f t="shared" si="40"/>
        <v>459260.38000000012</v>
      </c>
      <c r="Y193" s="145">
        <f t="shared" si="41"/>
        <v>0.25081643615141019</v>
      </c>
      <c r="Z193" s="148"/>
      <c r="AA193" s="149">
        <v>-128193.43000000001</v>
      </c>
      <c r="AB193" s="150"/>
      <c r="AC193" s="117">
        <v>-211320.86000000002</v>
      </c>
      <c r="AD193" s="117">
        <v>-179569.03</v>
      </c>
      <c r="AE193" s="117">
        <v>-96425.34</v>
      </c>
      <c r="AF193" s="117">
        <v>-123152.29000000001</v>
      </c>
      <c r="AG193" s="117">
        <v>-75970.17</v>
      </c>
      <c r="AH193" s="117">
        <v>-108781.86</v>
      </c>
      <c r="AI193" s="117">
        <v>-124982.34</v>
      </c>
      <c r="AJ193" s="117">
        <v>-168183.38</v>
      </c>
      <c r="AK193" s="117">
        <v>-150625.61000000002</v>
      </c>
      <c r="AL193" s="117">
        <v>-99870.74</v>
      </c>
      <c r="AM193" s="117">
        <v>-76270.63</v>
      </c>
      <c r="AN193" s="117">
        <v>-118821.18000000001</v>
      </c>
      <c r="AO193" s="150"/>
      <c r="AP193" s="117">
        <v>-115924.33</v>
      </c>
      <c r="AQ193" s="117">
        <v>-112793.49</v>
      </c>
      <c r="AR193" s="117">
        <v>0</v>
      </c>
      <c r="AS193" s="117">
        <v>0</v>
      </c>
      <c r="AT193" s="117">
        <v>0</v>
      </c>
      <c r="AU193" s="117">
        <v>0</v>
      </c>
      <c r="AV193" s="117">
        <v>0</v>
      </c>
      <c r="AW193" s="117">
        <v>0</v>
      </c>
      <c r="AX193" s="117">
        <v>0</v>
      </c>
      <c r="AY193" s="117">
        <v>0</v>
      </c>
      <c r="AZ193" s="117">
        <v>0</v>
      </c>
      <c r="BA193" s="117">
        <v>0</v>
      </c>
    </row>
    <row r="194" spans="1:53" s="138" customFormat="1" outlineLevel="2" x14ac:dyDescent="0.25">
      <c r="A194" s="138" t="s">
        <v>665</v>
      </c>
      <c r="B194" s="139" t="s">
        <v>666</v>
      </c>
      <c r="C194" s="140" t="s">
        <v>667</v>
      </c>
      <c r="D194" s="141"/>
      <c r="E194" s="142"/>
      <c r="F194" s="143">
        <v>47250.590000000004</v>
      </c>
      <c r="G194" s="143">
        <v>33046.9</v>
      </c>
      <c r="H194" s="144">
        <f t="shared" si="34"/>
        <v>14203.690000000002</v>
      </c>
      <c r="I194" s="145">
        <f t="shared" si="35"/>
        <v>0.42980400582202877</v>
      </c>
      <c r="J194" s="146"/>
      <c r="K194" s="143">
        <v>115262.35</v>
      </c>
      <c r="L194" s="143">
        <v>50560.72</v>
      </c>
      <c r="M194" s="144">
        <f t="shared" si="36"/>
        <v>64701.630000000005</v>
      </c>
      <c r="N194" s="145">
        <f t="shared" si="37"/>
        <v>1.2796817371271612</v>
      </c>
      <c r="O194" s="147"/>
      <c r="P194" s="146"/>
      <c r="Q194" s="143">
        <v>182287.55</v>
      </c>
      <c r="R194" s="143">
        <v>69524.62</v>
      </c>
      <c r="S194" s="144">
        <f t="shared" si="38"/>
        <v>112762.93</v>
      </c>
      <c r="T194" s="145">
        <f t="shared" si="39"/>
        <v>1.6219136472806324</v>
      </c>
      <c r="U194" s="146"/>
      <c r="V194" s="143">
        <v>580289.68000000005</v>
      </c>
      <c r="W194" s="143">
        <v>423423.88</v>
      </c>
      <c r="X194" s="144">
        <f t="shared" si="40"/>
        <v>156865.80000000005</v>
      </c>
      <c r="Y194" s="145">
        <f t="shared" si="41"/>
        <v>0.37046989414012277</v>
      </c>
      <c r="Z194" s="148"/>
      <c r="AA194" s="149">
        <v>18963.900000000001</v>
      </c>
      <c r="AB194" s="150"/>
      <c r="AC194" s="117">
        <v>17513.82</v>
      </c>
      <c r="AD194" s="117">
        <v>33046.9</v>
      </c>
      <c r="AE194" s="117">
        <v>41274.07</v>
      </c>
      <c r="AF194" s="117">
        <v>32757.62</v>
      </c>
      <c r="AG194" s="117">
        <v>35467.97</v>
      </c>
      <c r="AH194" s="117">
        <v>36464.21</v>
      </c>
      <c r="AI194" s="117">
        <v>46172.340000000004</v>
      </c>
      <c r="AJ194" s="117">
        <v>50087.24</v>
      </c>
      <c r="AK194" s="117">
        <v>51585.96</v>
      </c>
      <c r="AL194" s="117">
        <v>51719.840000000004</v>
      </c>
      <c r="AM194" s="117">
        <v>52472.880000000005</v>
      </c>
      <c r="AN194" s="117">
        <v>67025.2</v>
      </c>
      <c r="AO194" s="150"/>
      <c r="AP194" s="117">
        <v>68011.759999999995</v>
      </c>
      <c r="AQ194" s="117">
        <v>47250.590000000004</v>
      </c>
      <c r="AR194" s="117">
        <v>0</v>
      </c>
      <c r="AS194" s="117">
        <v>0</v>
      </c>
      <c r="AT194" s="117">
        <v>0</v>
      </c>
      <c r="AU194" s="117">
        <v>0</v>
      </c>
      <c r="AV194" s="117">
        <v>0</v>
      </c>
      <c r="AW194" s="117">
        <v>0</v>
      </c>
      <c r="AX194" s="117">
        <v>0</v>
      </c>
      <c r="AY194" s="117">
        <v>0</v>
      </c>
      <c r="AZ194" s="117">
        <v>0</v>
      </c>
      <c r="BA194" s="117">
        <v>0</v>
      </c>
    </row>
    <row r="195" spans="1:53" s="138" customFormat="1" outlineLevel="2" x14ac:dyDescent="0.25">
      <c r="A195" s="138" t="s">
        <v>668</v>
      </c>
      <c r="B195" s="139" t="s">
        <v>669</v>
      </c>
      <c r="C195" s="140" t="s">
        <v>670</v>
      </c>
      <c r="D195" s="141"/>
      <c r="E195" s="142"/>
      <c r="F195" s="143">
        <v>85932.02</v>
      </c>
      <c r="G195" s="143">
        <v>135393.66</v>
      </c>
      <c r="H195" s="144">
        <f t="shared" si="34"/>
        <v>-49461.64</v>
      </c>
      <c r="I195" s="145">
        <f t="shared" si="35"/>
        <v>-0.36531725340758198</v>
      </c>
      <c r="J195" s="146"/>
      <c r="K195" s="143">
        <v>223658.47</v>
      </c>
      <c r="L195" s="143">
        <v>251906.86000000002</v>
      </c>
      <c r="M195" s="144">
        <f t="shared" si="36"/>
        <v>-28248.390000000014</v>
      </c>
      <c r="N195" s="145">
        <f t="shared" si="37"/>
        <v>-0.11213823236096077</v>
      </c>
      <c r="O195" s="147"/>
      <c r="P195" s="146"/>
      <c r="Q195" s="143">
        <v>358607.35999999999</v>
      </c>
      <c r="R195" s="143">
        <v>381017</v>
      </c>
      <c r="S195" s="144">
        <f t="shared" si="38"/>
        <v>-22409.640000000014</v>
      </c>
      <c r="T195" s="145">
        <f t="shared" si="39"/>
        <v>-5.8815328449911719E-2</v>
      </c>
      <c r="U195" s="146"/>
      <c r="V195" s="143">
        <v>1430720.58</v>
      </c>
      <c r="W195" s="143">
        <v>1632277.11</v>
      </c>
      <c r="X195" s="144">
        <f t="shared" si="40"/>
        <v>-201556.53000000003</v>
      </c>
      <c r="Y195" s="145">
        <f t="shared" si="41"/>
        <v>-0.12348180879654681</v>
      </c>
      <c r="Z195" s="148"/>
      <c r="AA195" s="149">
        <v>129110.14</v>
      </c>
      <c r="AB195" s="150"/>
      <c r="AC195" s="117">
        <v>116513.2</v>
      </c>
      <c r="AD195" s="117">
        <v>135393.66</v>
      </c>
      <c r="AE195" s="117">
        <v>143356.48000000001</v>
      </c>
      <c r="AF195" s="117">
        <v>109715.47</v>
      </c>
      <c r="AG195" s="117">
        <v>122452.28</v>
      </c>
      <c r="AH195" s="117">
        <v>122755.58</v>
      </c>
      <c r="AI195" s="117">
        <v>127456.58</v>
      </c>
      <c r="AJ195" s="117">
        <v>125365.94</v>
      </c>
      <c r="AK195" s="117">
        <v>88487.85</v>
      </c>
      <c r="AL195" s="117">
        <v>131453.29999999999</v>
      </c>
      <c r="AM195" s="117">
        <v>101069.74</v>
      </c>
      <c r="AN195" s="117">
        <v>134948.89000000001</v>
      </c>
      <c r="AO195" s="150"/>
      <c r="AP195" s="117">
        <v>137726.45000000001</v>
      </c>
      <c r="AQ195" s="117">
        <v>85932.02</v>
      </c>
      <c r="AR195" s="117">
        <v>0</v>
      </c>
      <c r="AS195" s="117">
        <v>0</v>
      </c>
      <c r="AT195" s="117">
        <v>0</v>
      </c>
      <c r="AU195" s="117">
        <v>0</v>
      </c>
      <c r="AV195" s="117">
        <v>0</v>
      </c>
      <c r="AW195" s="117">
        <v>0</v>
      </c>
      <c r="AX195" s="117">
        <v>0</v>
      </c>
      <c r="AY195" s="117">
        <v>0</v>
      </c>
      <c r="AZ195" s="117">
        <v>0</v>
      </c>
      <c r="BA195" s="117">
        <v>0</v>
      </c>
    </row>
    <row r="196" spans="1:53" s="138" customFormat="1" outlineLevel="2" x14ac:dyDescent="0.25">
      <c r="A196" s="138" t="s">
        <v>671</v>
      </c>
      <c r="B196" s="139" t="s">
        <v>672</v>
      </c>
      <c r="C196" s="140" t="s">
        <v>673</v>
      </c>
      <c r="D196" s="141"/>
      <c r="E196" s="142"/>
      <c r="F196" s="143">
        <v>40.86</v>
      </c>
      <c r="G196" s="143">
        <v>19.25</v>
      </c>
      <c r="H196" s="144">
        <f t="shared" si="34"/>
        <v>21.61</v>
      </c>
      <c r="I196" s="145">
        <f t="shared" si="35"/>
        <v>1.1225974025974026</v>
      </c>
      <c r="J196" s="146"/>
      <c r="K196" s="143">
        <v>298.33</v>
      </c>
      <c r="L196" s="143">
        <v>273.31</v>
      </c>
      <c r="M196" s="144">
        <f t="shared" si="36"/>
        <v>25.019999999999982</v>
      </c>
      <c r="N196" s="145">
        <f t="shared" si="37"/>
        <v>9.1544400131718495E-2</v>
      </c>
      <c r="O196" s="147"/>
      <c r="P196" s="146"/>
      <c r="Q196" s="143">
        <v>3657.61</v>
      </c>
      <c r="R196" s="143">
        <v>695.02</v>
      </c>
      <c r="S196" s="144">
        <f t="shared" si="38"/>
        <v>2962.59</v>
      </c>
      <c r="T196" s="145">
        <f t="shared" si="39"/>
        <v>4.2625967598054739</v>
      </c>
      <c r="U196" s="146"/>
      <c r="V196" s="143">
        <v>57097.130000000005</v>
      </c>
      <c r="W196" s="143">
        <v>60952.364999999998</v>
      </c>
      <c r="X196" s="144">
        <f t="shared" si="40"/>
        <v>-3855.2349999999933</v>
      </c>
      <c r="Y196" s="145">
        <f t="shared" si="41"/>
        <v>-6.3249965772451872E-2</v>
      </c>
      <c r="Z196" s="148"/>
      <c r="AA196" s="149">
        <v>421.71000000000004</v>
      </c>
      <c r="AB196" s="150"/>
      <c r="AC196" s="117">
        <v>254.06</v>
      </c>
      <c r="AD196" s="117">
        <v>19.25</v>
      </c>
      <c r="AE196" s="117">
        <v>23.64</v>
      </c>
      <c r="AF196" s="117">
        <v>1101.67</v>
      </c>
      <c r="AG196" s="117">
        <v>16.37</v>
      </c>
      <c r="AH196" s="117">
        <v>120.3</v>
      </c>
      <c r="AI196" s="117">
        <v>3153.21</v>
      </c>
      <c r="AJ196" s="117">
        <v>47260.06</v>
      </c>
      <c r="AK196" s="117">
        <v>70.42</v>
      </c>
      <c r="AL196" s="117">
        <v>1650.38</v>
      </c>
      <c r="AM196" s="117">
        <v>43.47</v>
      </c>
      <c r="AN196" s="117">
        <v>3359.28</v>
      </c>
      <c r="AO196" s="150"/>
      <c r="AP196" s="117">
        <v>257.47000000000003</v>
      </c>
      <c r="AQ196" s="117">
        <v>40.86</v>
      </c>
      <c r="AR196" s="117">
        <v>0</v>
      </c>
      <c r="AS196" s="117">
        <v>0</v>
      </c>
      <c r="AT196" s="117">
        <v>0</v>
      </c>
      <c r="AU196" s="117">
        <v>0</v>
      </c>
      <c r="AV196" s="117">
        <v>0</v>
      </c>
      <c r="AW196" s="117">
        <v>0</v>
      </c>
      <c r="AX196" s="117">
        <v>0</v>
      </c>
      <c r="AY196" s="117">
        <v>0</v>
      </c>
      <c r="AZ196" s="117">
        <v>0</v>
      </c>
      <c r="BA196" s="117">
        <v>0</v>
      </c>
    </row>
    <row r="197" spans="1:53" s="138" customFormat="1" outlineLevel="2" x14ac:dyDescent="0.25">
      <c r="A197" s="138" t="s">
        <v>674</v>
      </c>
      <c r="B197" s="139" t="s">
        <v>675</v>
      </c>
      <c r="C197" s="140" t="s">
        <v>676</v>
      </c>
      <c r="D197" s="141"/>
      <c r="E197" s="142"/>
      <c r="F197" s="143">
        <v>10</v>
      </c>
      <c r="G197" s="143">
        <v>0</v>
      </c>
      <c r="H197" s="144">
        <f t="shared" si="34"/>
        <v>10</v>
      </c>
      <c r="I197" s="145" t="str">
        <f t="shared" si="35"/>
        <v>N.M.</v>
      </c>
      <c r="J197" s="146"/>
      <c r="K197" s="143">
        <v>18</v>
      </c>
      <c r="L197" s="143">
        <v>0</v>
      </c>
      <c r="M197" s="144">
        <f t="shared" si="36"/>
        <v>18</v>
      </c>
      <c r="N197" s="145" t="str">
        <f t="shared" si="37"/>
        <v>N.M.</v>
      </c>
      <c r="O197" s="147"/>
      <c r="P197" s="146"/>
      <c r="Q197" s="143">
        <v>26</v>
      </c>
      <c r="R197" s="143">
        <v>0</v>
      </c>
      <c r="S197" s="144">
        <f t="shared" si="38"/>
        <v>26</v>
      </c>
      <c r="T197" s="145" t="str">
        <f t="shared" si="39"/>
        <v>N.M.</v>
      </c>
      <c r="U197" s="146"/>
      <c r="V197" s="143">
        <v>60</v>
      </c>
      <c r="W197" s="143">
        <v>4</v>
      </c>
      <c r="X197" s="144">
        <f t="shared" si="40"/>
        <v>56</v>
      </c>
      <c r="Y197" s="145" t="str">
        <f t="shared" si="41"/>
        <v>N.M.</v>
      </c>
      <c r="Z197" s="148"/>
      <c r="AA197" s="149">
        <v>0</v>
      </c>
      <c r="AB197" s="150"/>
      <c r="AC197" s="117">
        <v>0</v>
      </c>
      <c r="AD197" s="117">
        <v>0</v>
      </c>
      <c r="AE197" s="117">
        <v>0</v>
      </c>
      <c r="AF197" s="117">
        <v>0</v>
      </c>
      <c r="AG197" s="117">
        <v>0</v>
      </c>
      <c r="AH197" s="117">
        <v>0</v>
      </c>
      <c r="AI197" s="117">
        <v>0</v>
      </c>
      <c r="AJ197" s="117">
        <v>6</v>
      </c>
      <c r="AK197" s="117">
        <v>10</v>
      </c>
      <c r="AL197" s="117">
        <v>10</v>
      </c>
      <c r="AM197" s="117">
        <v>8</v>
      </c>
      <c r="AN197" s="117">
        <v>8</v>
      </c>
      <c r="AO197" s="150"/>
      <c r="AP197" s="117">
        <v>8</v>
      </c>
      <c r="AQ197" s="117">
        <v>10</v>
      </c>
      <c r="AR197" s="117">
        <v>0</v>
      </c>
      <c r="AS197" s="117">
        <v>0</v>
      </c>
      <c r="AT197" s="117">
        <v>0</v>
      </c>
      <c r="AU197" s="117">
        <v>0</v>
      </c>
      <c r="AV197" s="117">
        <v>0</v>
      </c>
      <c r="AW197" s="117">
        <v>0</v>
      </c>
      <c r="AX197" s="117">
        <v>0</v>
      </c>
      <c r="AY197" s="117">
        <v>0</v>
      </c>
      <c r="AZ197" s="117">
        <v>0</v>
      </c>
      <c r="BA197" s="117">
        <v>0</v>
      </c>
    </row>
    <row r="198" spans="1:53" s="211" customFormat="1" outlineLevel="1" x14ac:dyDescent="0.25">
      <c r="A198" s="211" t="s">
        <v>677</v>
      </c>
      <c r="B198" s="212"/>
      <c r="C198" s="213" t="s">
        <v>572</v>
      </c>
      <c r="D198" s="229"/>
      <c r="E198" s="229"/>
      <c r="F198" s="215">
        <v>12569125.52</v>
      </c>
      <c r="G198" s="215">
        <v>10040474.829999998</v>
      </c>
      <c r="H198" s="236">
        <f t="shared" si="34"/>
        <v>2528650.6900000013</v>
      </c>
      <c r="I198" s="237">
        <f t="shared" si="35"/>
        <v>0.25184572769851782</v>
      </c>
      <c r="J198" s="231"/>
      <c r="K198" s="215">
        <v>28046069.409999996</v>
      </c>
      <c r="L198" s="215">
        <v>25055145.340000004</v>
      </c>
      <c r="M198" s="236">
        <f t="shared" si="36"/>
        <v>2990924.0699999928</v>
      </c>
      <c r="N198" s="232">
        <f t="shared" si="37"/>
        <v>0.11937364678643658</v>
      </c>
      <c r="O198" s="233"/>
      <c r="P198" s="233"/>
      <c r="Q198" s="215">
        <v>42307194.109999999</v>
      </c>
      <c r="R198" s="215">
        <v>39187042.790000014</v>
      </c>
      <c r="S198" s="236">
        <f t="shared" si="38"/>
        <v>3120151.3199999854</v>
      </c>
      <c r="T198" s="237">
        <f t="shared" si="39"/>
        <v>7.9622015285016723E-2</v>
      </c>
      <c r="U198" s="233"/>
      <c r="V198" s="215">
        <v>154697495.40000007</v>
      </c>
      <c r="W198" s="215">
        <v>150985634.815</v>
      </c>
      <c r="X198" s="236">
        <f t="shared" si="40"/>
        <v>3711860.5850000679</v>
      </c>
      <c r="Y198" s="232">
        <f t="shared" si="41"/>
        <v>2.45841969638247E-2</v>
      </c>
      <c r="AA198" s="215">
        <v>14131897.450000003</v>
      </c>
      <c r="AB198" s="235"/>
      <c r="AC198" s="215">
        <v>15014670.510000005</v>
      </c>
      <c r="AD198" s="215">
        <v>10040474.829999998</v>
      </c>
      <c r="AE198" s="215">
        <v>9550772.8900000025</v>
      </c>
      <c r="AF198" s="215">
        <v>11332650.139999997</v>
      </c>
      <c r="AG198" s="215">
        <v>11896816.489999996</v>
      </c>
      <c r="AH198" s="215">
        <v>13787176.390000004</v>
      </c>
      <c r="AI198" s="215">
        <v>13008250.890000002</v>
      </c>
      <c r="AJ198" s="215">
        <v>14490736.580000002</v>
      </c>
      <c r="AK198" s="215">
        <v>12680355.799999999</v>
      </c>
      <c r="AL198" s="215">
        <v>14735287.810000001</v>
      </c>
      <c r="AM198" s="215">
        <v>10908254.300000001</v>
      </c>
      <c r="AN198" s="215">
        <v>14261124.699999996</v>
      </c>
      <c r="AO198" s="235"/>
      <c r="AP198" s="215">
        <v>15476943.890000002</v>
      </c>
      <c r="AQ198" s="215">
        <v>12569125.52</v>
      </c>
      <c r="AR198" s="215">
        <v>60066239.219999999</v>
      </c>
      <c r="AS198" s="215">
        <v>354262.2</v>
      </c>
      <c r="AT198" s="215">
        <v>0</v>
      </c>
      <c r="AU198" s="215">
        <v>0</v>
      </c>
      <c r="AV198" s="215">
        <v>0</v>
      </c>
      <c r="AW198" s="215">
        <v>0</v>
      </c>
      <c r="AX198" s="215">
        <v>0</v>
      </c>
      <c r="AY198" s="215">
        <v>0</v>
      </c>
      <c r="AZ198" s="215">
        <v>0</v>
      </c>
      <c r="BA198" s="215">
        <v>0</v>
      </c>
    </row>
    <row r="199" spans="1:53" s="211" customFormat="1" ht="0.75" customHeight="1" outlineLevel="2" x14ac:dyDescent="0.25">
      <c r="B199" s="212"/>
      <c r="C199" s="213"/>
      <c r="D199" s="229"/>
      <c r="E199" s="229"/>
      <c r="F199" s="215"/>
      <c r="G199" s="215"/>
      <c r="H199" s="236"/>
      <c r="I199" s="237"/>
      <c r="J199" s="231"/>
      <c r="K199" s="215"/>
      <c r="L199" s="215"/>
      <c r="M199" s="236"/>
      <c r="N199" s="232"/>
      <c r="O199" s="233"/>
      <c r="P199" s="233"/>
      <c r="Q199" s="215"/>
      <c r="R199" s="215"/>
      <c r="S199" s="236"/>
      <c r="T199" s="237"/>
      <c r="U199" s="233"/>
      <c r="V199" s="215"/>
      <c r="W199" s="215"/>
      <c r="X199" s="236"/>
      <c r="Y199" s="232"/>
      <c r="AA199" s="215"/>
      <c r="AB199" s="23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3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</row>
    <row r="200" spans="1:53" s="138" customFormat="1" outlineLevel="2" x14ac:dyDescent="0.25">
      <c r="A200" s="138" t="s">
        <v>678</v>
      </c>
      <c r="B200" s="139" t="s">
        <v>679</v>
      </c>
      <c r="C200" s="140" t="s">
        <v>680</v>
      </c>
      <c r="D200" s="141"/>
      <c r="E200" s="142"/>
      <c r="F200" s="143">
        <v>0</v>
      </c>
      <c r="G200" s="143">
        <v>0</v>
      </c>
      <c r="H200" s="144">
        <f>+F200-G200</f>
        <v>0</v>
      </c>
      <c r="I200" s="145">
        <f>IF(G200&lt;0,IF(H200=0,0,IF(OR(G200=0,F200=0),"N.M.",IF(ABS(H200/G200)&gt;=10,"N.M.",H200/(-G200)))),IF(H200=0,0,IF(OR(G200=0,F200=0),"N.M.",IF(ABS(H200/G200)&gt;=10,"N.M.",H200/G200))))</f>
        <v>0</v>
      </c>
      <c r="J200" s="146"/>
      <c r="K200" s="143">
        <v>0</v>
      </c>
      <c r="L200" s="143">
        <v>0</v>
      </c>
      <c r="M200" s="144">
        <f>+K200-L200</f>
        <v>0</v>
      </c>
      <c r="N200" s="145">
        <f>IF(L200&lt;0,IF(M200=0,0,IF(OR(L200=0,K200=0),"N.M.",IF(ABS(M200/L200)&gt;=10,"N.M.",M200/(-L200)))),IF(M200=0,0,IF(OR(L200=0,K200=0),"N.M.",IF(ABS(M200/L200)&gt;=10,"N.M.",M200/L200))))</f>
        <v>0</v>
      </c>
      <c r="O200" s="147"/>
      <c r="P200" s="146"/>
      <c r="Q200" s="143">
        <v>0</v>
      </c>
      <c r="R200" s="143">
        <v>0</v>
      </c>
      <c r="S200" s="144">
        <f>+Q200-R200</f>
        <v>0</v>
      </c>
      <c r="T200" s="145">
        <f>IF(R200&lt;0,IF(S200=0,0,IF(OR(R200=0,Q200=0),"N.M.",IF(ABS(S200/R200)&gt;=10,"N.M.",S200/(-R200)))),IF(S200=0,0,IF(OR(R200=0,Q200=0),"N.M.",IF(ABS(S200/R200)&gt;=10,"N.M.",S200/R200))))</f>
        <v>0</v>
      </c>
      <c r="U200" s="146"/>
      <c r="V200" s="143">
        <v>0.01</v>
      </c>
      <c r="W200" s="143">
        <v>0</v>
      </c>
      <c r="X200" s="144">
        <f>+V200-W200</f>
        <v>0.01</v>
      </c>
      <c r="Y200" s="145" t="str">
        <f>IF(W200&lt;0,IF(X200=0,0,IF(OR(W200=0,V200=0),"N.M.",IF(ABS(X200/W200)&gt;=10,"N.M.",X200/(-W200)))),IF(X200=0,0,IF(OR(W200=0,V200=0),"N.M.",IF(ABS(X200/W200)&gt;=10,"N.M.",X200/W200))))</f>
        <v>N.M.</v>
      </c>
      <c r="Z200" s="148"/>
      <c r="AA200" s="149">
        <v>0</v>
      </c>
      <c r="AB200" s="150"/>
      <c r="AC200" s="117">
        <v>0</v>
      </c>
      <c r="AD200" s="117">
        <v>0</v>
      </c>
      <c r="AE200" s="117">
        <v>0</v>
      </c>
      <c r="AF200" s="117">
        <v>0</v>
      </c>
      <c r="AG200" s="117">
        <v>0</v>
      </c>
      <c r="AH200" s="117">
        <v>0</v>
      </c>
      <c r="AI200" s="117">
        <v>0</v>
      </c>
      <c r="AJ200" s="117">
        <v>0.01</v>
      </c>
      <c r="AK200" s="117">
        <v>0</v>
      </c>
      <c r="AL200" s="117">
        <v>0</v>
      </c>
      <c r="AM200" s="117">
        <v>0</v>
      </c>
      <c r="AN200" s="117">
        <v>0</v>
      </c>
      <c r="AO200" s="150"/>
      <c r="AP200" s="117">
        <v>0</v>
      </c>
      <c r="AQ200" s="117">
        <v>0</v>
      </c>
      <c r="AR200" s="117">
        <v>0</v>
      </c>
      <c r="AS200" s="117">
        <v>0</v>
      </c>
      <c r="AT200" s="117">
        <v>0</v>
      </c>
      <c r="AU200" s="117">
        <v>0</v>
      </c>
      <c r="AV200" s="117">
        <v>0</v>
      </c>
      <c r="AW200" s="117">
        <v>0</v>
      </c>
      <c r="AX200" s="117">
        <v>0</v>
      </c>
      <c r="AY200" s="117">
        <v>0</v>
      </c>
      <c r="AZ200" s="117">
        <v>0</v>
      </c>
      <c r="BA200" s="117">
        <v>0</v>
      </c>
    </row>
    <row r="201" spans="1:53" s="211" customFormat="1" outlineLevel="1" x14ac:dyDescent="0.25">
      <c r="A201" s="211" t="s">
        <v>681</v>
      </c>
      <c r="B201" s="212"/>
      <c r="C201" s="213" t="s">
        <v>682</v>
      </c>
      <c r="D201" s="229"/>
      <c r="E201" s="229"/>
      <c r="F201" s="215">
        <v>0</v>
      </c>
      <c r="G201" s="215">
        <v>0</v>
      </c>
      <c r="H201" s="236">
        <f>+F201-G201</f>
        <v>0</v>
      </c>
      <c r="I201" s="237">
        <f>IF(G201&lt;0,IF(H201=0,0,IF(OR(G201=0,F201=0),"N.M.",IF(ABS(H201/G201)&gt;=10,"N.M.",H201/(-G201)))),IF(H201=0,0,IF(OR(G201=0,F201=0),"N.M.",IF(ABS(H201/G201)&gt;=10,"N.M.",H201/G201))))</f>
        <v>0</v>
      </c>
      <c r="J201" s="231"/>
      <c r="K201" s="215">
        <v>0</v>
      </c>
      <c r="L201" s="215">
        <v>0</v>
      </c>
      <c r="M201" s="236">
        <f>+K201-L201</f>
        <v>0</v>
      </c>
      <c r="N201" s="232">
        <f>IF(L201&lt;0,IF(M201=0,0,IF(OR(L201=0,K201=0),"N.M.",IF(ABS(M201/L201)&gt;=10,"N.M.",M201/(-L201)))),IF(M201=0,0,IF(OR(L201=0,K201=0),"N.M.",IF(ABS(M201/L201)&gt;=10,"N.M.",M201/L201))))</f>
        <v>0</v>
      </c>
      <c r="O201" s="233"/>
      <c r="P201" s="233"/>
      <c r="Q201" s="215">
        <v>0</v>
      </c>
      <c r="R201" s="215">
        <v>0</v>
      </c>
      <c r="S201" s="236">
        <f>+Q201-R201</f>
        <v>0</v>
      </c>
      <c r="T201" s="237">
        <f>IF(R201&lt;0,IF(S201=0,0,IF(OR(R201=0,Q201=0),"N.M.",IF(ABS(S201/R201)&gt;=10,"N.M.",S201/(-R201)))),IF(S201=0,0,IF(OR(R201=0,Q201=0),"N.M.",IF(ABS(S201/R201)&gt;=10,"N.M.",S201/R201))))</f>
        <v>0</v>
      </c>
      <c r="U201" s="233"/>
      <c r="V201" s="215">
        <v>0.01</v>
      </c>
      <c r="W201" s="215">
        <v>0</v>
      </c>
      <c r="X201" s="236">
        <f>+V201-W201</f>
        <v>0.01</v>
      </c>
      <c r="Y201" s="232" t="str">
        <f>IF(W201&lt;0,IF(X201=0,0,IF(OR(W201=0,V201=0),"N.M.",IF(ABS(X201/W201)&gt;=10,"N.M.",X201/(-W201)))),IF(X201=0,0,IF(OR(W201=0,V201=0),"N.M.",IF(ABS(X201/W201)&gt;=10,"N.M.",X201/W201))))</f>
        <v>N.M.</v>
      </c>
      <c r="AA201" s="215">
        <v>0</v>
      </c>
      <c r="AB201" s="235"/>
      <c r="AC201" s="215">
        <v>0</v>
      </c>
      <c r="AD201" s="215">
        <v>0</v>
      </c>
      <c r="AE201" s="215">
        <v>0</v>
      </c>
      <c r="AF201" s="215">
        <v>0</v>
      </c>
      <c r="AG201" s="215">
        <v>0</v>
      </c>
      <c r="AH201" s="215">
        <v>0</v>
      </c>
      <c r="AI201" s="215">
        <v>0</v>
      </c>
      <c r="AJ201" s="215">
        <v>0.01</v>
      </c>
      <c r="AK201" s="215">
        <v>0</v>
      </c>
      <c r="AL201" s="215">
        <v>0</v>
      </c>
      <c r="AM201" s="215">
        <v>0</v>
      </c>
      <c r="AN201" s="215">
        <v>0</v>
      </c>
      <c r="AO201" s="235"/>
      <c r="AP201" s="215">
        <v>0</v>
      </c>
      <c r="AQ201" s="215">
        <v>0</v>
      </c>
      <c r="AR201" s="215">
        <v>0</v>
      </c>
      <c r="AS201" s="215">
        <v>0</v>
      </c>
      <c r="AT201" s="215">
        <v>0</v>
      </c>
      <c r="AU201" s="215">
        <v>0</v>
      </c>
      <c r="AV201" s="215">
        <v>0</v>
      </c>
      <c r="AW201" s="215">
        <v>0</v>
      </c>
      <c r="AX201" s="215">
        <v>0</v>
      </c>
      <c r="AY201" s="215">
        <v>0</v>
      </c>
      <c r="AZ201" s="215">
        <v>0</v>
      </c>
      <c r="BA201" s="215">
        <v>0</v>
      </c>
    </row>
    <row r="202" spans="1:53" s="211" customFormat="1" ht="0.75" customHeight="1" outlineLevel="2" x14ac:dyDescent="0.25">
      <c r="B202" s="212"/>
      <c r="C202" s="213"/>
      <c r="D202" s="229"/>
      <c r="E202" s="229"/>
      <c r="F202" s="215"/>
      <c r="G202" s="215"/>
      <c r="H202" s="236"/>
      <c r="I202" s="237"/>
      <c r="J202" s="231"/>
      <c r="K202" s="215"/>
      <c r="L202" s="215"/>
      <c r="M202" s="236"/>
      <c r="N202" s="232"/>
      <c r="O202" s="233"/>
      <c r="P202" s="233"/>
      <c r="Q202" s="215"/>
      <c r="R202" s="215"/>
      <c r="S202" s="236"/>
      <c r="T202" s="237"/>
      <c r="U202" s="233"/>
      <c r="V202" s="215"/>
      <c r="W202" s="215"/>
      <c r="X202" s="236"/>
      <c r="Y202" s="232"/>
      <c r="AA202" s="215"/>
      <c r="AB202" s="23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3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</row>
    <row r="203" spans="1:53" s="138" customFormat="1" outlineLevel="2" x14ac:dyDescent="0.25">
      <c r="A203" s="138" t="s">
        <v>683</v>
      </c>
      <c r="B203" s="139" t="s">
        <v>684</v>
      </c>
      <c r="C203" s="140" t="s">
        <v>493</v>
      </c>
      <c r="D203" s="141"/>
      <c r="E203" s="142"/>
      <c r="F203" s="143">
        <v>142245.93</v>
      </c>
      <c r="G203" s="143">
        <v>94655.78</v>
      </c>
      <c r="H203" s="144">
        <f t="shared" ref="H203:H228" si="42">+F203-G203</f>
        <v>47590.149999999994</v>
      </c>
      <c r="I203" s="145">
        <f t="shared" ref="I203:I228" si="43">IF(G203&lt;0,IF(H203=0,0,IF(OR(G203=0,F203=0),"N.M.",IF(ABS(H203/G203)&gt;=10,"N.M.",H203/(-G203)))),IF(H203=0,0,IF(OR(G203=0,F203=0),"N.M.",IF(ABS(H203/G203)&gt;=10,"N.M.",H203/G203))))</f>
        <v>0.50277067073981108</v>
      </c>
      <c r="J203" s="146"/>
      <c r="K203" s="143">
        <v>285816.10000000003</v>
      </c>
      <c r="L203" s="143">
        <v>185823.25</v>
      </c>
      <c r="M203" s="144">
        <f t="shared" ref="M203:M228" si="44">+K203-L203</f>
        <v>99992.850000000035</v>
      </c>
      <c r="N203" s="145">
        <f t="shared" ref="N203:N228" si="45">IF(L203&lt;0,IF(M203=0,0,IF(OR(L203=0,K203=0),"N.M.",IF(ABS(M203/L203)&gt;=10,"N.M.",M203/(-L203)))),IF(M203=0,0,IF(OR(L203=0,K203=0),"N.M.",IF(ABS(M203/L203)&gt;=10,"N.M.",M203/L203))))</f>
        <v>0.53810731434306547</v>
      </c>
      <c r="O203" s="147"/>
      <c r="P203" s="146"/>
      <c r="Q203" s="143">
        <v>488123.94000000006</v>
      </c>
      <c r="R203" s="143">
        <v>334397.19</v>
      </c>
      <c r="S203" s="144">
        <f t="shared" ref="S203:S228" si="46">+Q203-R203</f>
        <v>153726.75000000006</v>
      </c>
      <c r="T203" s="145">
        <f t="shared" ref="T203:T228" si="47">IF(R203&lt;0,IF(S203=0,0,IF(OR(R203=0,Q203=0),"N.M.",IF(ABS(S203/R203)&gt;=10,"N.M.",S203/(-R203)))),IF(S203=0,0,IF(OR(R203=0,Q203=0),"N.M.",IF(ABS(S203/R203)&gt;=10,"N.M.",S203/R203))))</f>
        <v>0.45971304364130589</v>
      </c>
      <c r="U203" s="146"/>
      <c r="V203" s="143">
        <v>1471898.32</v>
      </c>
      <c r="W203" s="143">
        <v>1197156.4300000002</v>
      </c>
      <c r="X203" s="144">
        <f t="shared" ref="X203:X228" si="48">+V203-W203</f>
        <v>274741.8899999999</v>
      </c>
      <c r="Y203" s="145">
        <f t="shared" ref="Y203:Y228" si="49">IF(W203&lt;0,IF(X203=0,0,IF(OR(W203=0,V203=0),"N.M.",IF(ABS(X203/W203)&gt;=10,"N.M.",X203/(-W203)))),IF(X203=0,0,IF(OR(W203=0,V203=0),"N.M.",IF(ABS(X203/W203)&gt;=10,"N.M.",X203/W203))))</f>
        <v>0.22949539685469497</v>
      </c>
      <c r="Z203" s="148"/>
      <c r="AA203" s="149">
        <v>148573.94</v>
      </c>
      <c r="AB203" s="150"/>
      <c r="AC203" s="117">
        <v>91167.47</v>
      </c>
      <c r="AD203" s="117">
        <v>94655.78</v>
      </c>
      <c r="AE203" s="117">
        <v>106292.38</v>
      </c>
      <c r="AF203" s="117">
        <v>95798.87</v>
      </c>
      <c r="AG203" s="117">
        <v>109224.33</v>
      </c>
      <c r="AH203" s="117">
        <v>112928.87</v>
      </c>
      <c r="AI203" s="117">
        <v>86708.790000000008</v>
      </c>
      <c r="AJ203" s="117">
        <v>120708.41</v>
      </c>
      <c r="AK203" s="117">
        <v>108048.69</v>
      </c>
      <c r="AL203" s="117">
        <v>122060.67</v>
      </c>
      <c r="AM203" s="117">
        <v>122003.37</v>
      </c>
      <c r="AN203" s="117">
        <v>202307.84</v>
      </c>
      <c r="AO203" s="150"/>
      <c r="AP203" s="117">
        <v>143570.17000000001</v>
      </c>
      <c r="AQ203" s="117">
        <v>142245.93</v>
      </c>
      <c r="AR203" s="117">
        <v>0</v>
      </c>
      <c r="AS203" s="117">
        <v>0</v>
      </c>
      <c r="AT203" s="117">
        <v>0</v>
      </c>
      <c r="AU203" s="117">
        <v>0</v>
      </c>
      <c r="AV203" s="117">
        <v>0</v>
      </c>
      <c r="AW203" s="117">
        <v>0</v>
      </c>
      <c r="AX203" s="117">
        <v>0</v>
      </c>
      <c r="AY203" s="117">
        <v>0</v>
      </c>
      <c r="AZ203" s="117">
        <v>0</v>
      </c>
      <c r="BA203" s="117">
        <v>0</v>
      </c>
    </row>
    <row r="204" spans="1:53" s="138" customFormat="1" outlineLevel="2" x14ac:dyDescent="0.25">
      <c r="A204" s="138" t="s">
        <v>685</v>
      </c>
      <c r="B204" s="139" t="s">
        <v>686</v>
      </c>
      <c r="C204" s="140" t="s">
        <v>687</v>
      </c>
      <c r="D204" s="141"/>
      <c r="E204" s="142"/>
      <c r="F204" s="143">
        <v>9.8000000000000007</v>
      </c>
      <c r="G204" s="143">
        <v>612.52</v>
      </c>
      <c r="H204" s="144">
        <f t="shared" si="42"/>
        <v>-602.72</v>
      </c>
      <c r="I204" s="145">
        <f t="shared" si="43"/>
        <v>-0.98400052243192071</v>
      </c>
      <c r="J204" s="146"/>
      <c r="K204" s="143">
        <v>1001.1800000000001</v>
      </c>
      <c r="L204" s="143">
        <v>1430.6000000000001</v>
      </c>
      <c r="M204" s="144">
        <f t="shared" si="44"/>
        <v>-429.42000000000007</v>
      </c>
      <c r="N204" s="145">
        <f t="shared" si="45"/>
        <v>-0.30016776177827487</v>
      </c>
      <c r="O204" s="147"/>
      <c r="P204" s="146"/>
      <c r="Q204" s="143">
        <v>1443.06</v>
      </c>
      <c r="R204" s="143">
        <v>1922.94</v>
      </c>
      <c r="S204" s="144">
        <f t="shared" si="46"/>
        <v>-479.88000000000011</v>
      </c>
      <c r="T204" s="145">
        <f t="shared" si="47"/>
        <v>-0.24955536834222602</v>
      </c>
      <c r="U204" s="146"/>
      <c r="V204" s="143">
        <v>8117.8</v>
      </c>
      <c r="W204" s="143">
        <v>6210.35</v>
      </c>
      <c r="X204" s="144">
        <f t="shared" si="48"/>
        <v>1907.4499999999998</v>
      </c>
      <c r="Y204" s="145">
        <f t="shared" si="49"/>
        <v>0.30714049932773513</v>
      </c>
      <c r="Z204" s="148"/>
      <c r="AA204" s="149">
        <v>492.34000000000003</v>
      </c>
      <c r="AB204" s="150"/>
      <c r="AC204" s="117">
        <v>818.08</v>
      </c>
      <c r="AD204" s="117">
        <v>612.52</v>
      </c>
      <c r="AE204" s="117">
        <v>598.41</v>
      </c>
      <c r="AF204" s="117">
        <v>178.22</v>
      </c>
      <c r="AG204" s="117">
        <v>738.91</v>
      </c>
      <c r="AH204" s="117">
        <v>736.05000000000007</v>
      </c>
      <c r="AI204" s="117">
        <v>432.62</v>
      </c>
      <c r="AJ204" s="117">
        <v>1513.79</v>
      </c>
      <c r="AK204" s="117">
        <v>783.17000000000007</v>
      </c>
      <c r="AL204" s="117">
        <v>1070.99</v>
      </c>
      <c r="AM204" s="117">
        <v>622.58000000000004</v>
      </c>
      <c r="AN204" s="117">
        <v>441.88</v>
      </c>
      <c r="AO204" s="150"/>
      <c r="AP204" s="117">
        <v>991.38</v>
      </c>
      <c r="AQ204" s="117">
        <v>9.8000000000000007</v>
      </c>
      <c r="AR204" s="117">
        <v>0</v>
      </c>
      <c r="AS204" s="117">
        <v>0</v>
      </c>
      <c r="AT204" s="117">
        <v>0</v>
      </c>
      <c r="AU204" s="117">
        <v>0</v>
      </c>
      <c r="AV204" s="117">
        <v>0</v>
      </c>
      <c r="AW204" s="117">
        <v>0</v>
      </c>
      <c r="AX204" s="117">
        <v>0</v>
      </c>
      <c r="AY204" s="117">
        <v>0</v>
      </c>
      <c r="AZ204" s="117">
        <v>0</v>
      </c>
      <c r="BA204" s="117">
        <v>0</v>
      </c>
    </row>
    <row r="205" spans="1:53" s="138" customFormat="1" outlineLevel="2" x14ac:dyDescent="0.25">
      <c r="A205" s="138" t="s">
        <v>688</v>
      </c>
      <c r="B205" s="139" t="s">
        <v>689</v>
      </c>
      <c r="C205" s="140" t="s">
        <v>690</v>
      </c>
      <c r="D205" s="141"/>
      <c r="E205" s="142"/>
      <c r="F205" s="143">
        <v>35574.450000000004</v>
      </c>
      <c r="G205" s="143">
        <v>68480.38</v>
      </c>
      <c r="H205" s="144">
        <f t="shared" si="42"/>
        <v>-32905.93</v>
      </c>
      <c r="I205" s="145">
        <f t="shared" si="43"/>
        <v>-0.48051617120115275</v>
      </c>
      <c r="J205" s="146"/>
      <c r="K205" s="143">
        <v>83819.92</v>
      </c>
      <c r="L205" s="143">
        <v>138893.97</v>
      </c>
      <c r="M205" s="144">
        <f t="shared" si="44"/>
        <v>-55074.05</v>
      </c>
      <c r="N205" s="145">
        <f t="shared" si="45"/>
        <v>-0.39651865376157081</v>
      </c>
      <c r="O205" s="147"/>
      <c r="P205" s="146"/>
      <c r="Q205" s="143">
        <v>135652.63</v>
      </c>
      <c r="R205" s="143">
        <v>218812.90000000002</v>
      </c>
      <c r="S205" s="144">
        <f t="shared" si="46"/>
        <v>-83160.270000000019</v>
      </c>
      <c r="T205" s="145">
        <f t="shared" si="47"/>
        <v>-0.38005195306126838</v>
      </c>
      <c r="U205" s="146"/>
      <c r="V205" s="143">
        <v>723813</v>
      </c>
      <c r="W205" s="143">
        <v>832032.39</v>
      </c>
      <c r="X205" s="144">
        <f t="shared" si="48"/>
        <v>-108219.39000000001</v>
      </c>
      <c r="Y205" s="145">
        <f t="shared" si="49"/>
        <v>-0.13006631869223265</v>
      </c>
      <c r="Z205" s="148"/>
      <c r="AA205" s="149">
        <v>79918.930000000008</v>
      </c>
      <c r="AB205" s="150"/>
      <c r="AC205" s="117">
        <v>70413.59</v>
      </c>
      <c r="AD205" s="117">
        <v>68480.38</v>
      </c>
      <c r="AE205" s="117">
        <v>76275.88</v>
      </c>
      <c r="AF205" s="117">
        <v>70881.400000000009</v>
      </c>
      <c r="AG205" s="117">
        <v>69251.180000000008</v>
      </c>
      <c r="AH205" s="117">
        <v>66696.5</v>
      </c>
      <c r="AI205" s="117">
        <v>64927.25</v>
      </c>
      <c r="AJ205" s="117">
        <v>68719.320000000007</v>
      </c>
      <c r="AK205" s="117">
        <v>65515.15</v>
      </c>
      <c r="AL205" s="117">
        <v>49641.74</v>
      </c>
      <c r="AM205" s="117">
        <v>56251.950000000004</v>
      </c>
      <c r="AN205" s="117">
        <v>51832.71</v>
      </c>
      <c r="AO205" s="150"/>
      <c r="AP205" s="117">
        <v>48245.47</v>
      </c>
      <c r="AQ205" s="117">
        <v>35574.450000000004</v>
      </c>
      <c r="AR205" s="117">
        <v>0</v>
      </c>
      <c r="AS205" s="117">
        <v>0</v>
      </c>
      <c r="AT205" s="117">
        <v>0</v>
      </c>
      <c r="AU205" s="117">
        <v>0</v>
      </c>
      <c r="AV205" s="117">
        <v>0</v>
      </c>
      <c r="AW205" s="117">
        <v>0</v>
      </c>
      <c r="AX205" s="117">
        <v>0</v>
      </c>
      <c r="AY205" s="117">
        <v>0</v>
      </c>
      <c r="AZ205" s="117">
        <v>0</v>
      </c>
      <c r="BA205" s="117">
        <v>0</v>
      </c>
    </row>
    <row r="206" spans="1:53" s="138" customFormat="1" outlineLevel="2" x14ac:dyDescent="0.25">
      <c r="A206" s="138" t="s">
        <v>691</v>
      </c>
      <c r="B206" s="139" t="s">
        <v>692</v>
      </c>
      <c r="C206" s="140" t="s">
        <v>693</v>
      </c>
      <c r="D206" s="141"/>
      <c r="E206" s="142"/>
      <c r="F206" s="143">
        <v>4668.7</v>
      </c>
      <c r="G206" s="143">
        <v>5371.96</v>
      </c>
      <c r="H206" s="144">
        <f t="shared" si="42"/>
        <v>-703.26000000000022</v>
      </c>
      <c r="I206" s="145">
        <f t="shared" si="43"/>
        <v>-0.13091311178787635</v>
      </c>
      <c r="J206" s="146"/>
      <c r="K206" s="143">
        <v>13007.59</v>
      </c>
      <c r="L206" s="143">
        <v>8142.37</v>
      </c>
      <c r="M206" s="144">
        <f t="shared" si="44"/>
        <v>4865.22</v>
      </c>
      <c r="N206" s="145">
        <f t="shared" si="45"/>
        <v>0.59751890420111098</v>
      </c>
      <c r="O206" s="147"/>
      <c r="P206" s="146"/>
      <c r="Q206" s="143">
        <v>33198.36</v>
      </c>
      <c r="R206" s="143">
        <v>12045.119999999999</v>
      </c>
      <c r="S206" s="144">
        <f t="shared" si="46"/>
        <v>21153.24</v>
      </c>
      <c r="T206" s="145">
        <f t="shared" si="47"/>
        <v>1.7561668127839327</v>
      </c>
      <c r="U206" s="146"/>
      <c r="V206" s="143">
        <v>167927.31</v>
      </c>
      <c r="W206" s="143">
        <v>195488.97</v>
      </c>
      <c r="X206" s="144">
        <f t="shared" si="48"/>
        <v>-27561.660000000003</v>
      </c>
      <c r="Y206" s="145">
        <f t="shared" si="49"/>
        <v>-0.14098831253753091</v>
      </c>
      <c r="Z206" s="148"/>
      <c r="AA206" s="149">
        <v>3902.75</v>
      </c>
      <c r="AB206" s="150"/>
      <c r="AC206" s="117">
        <v>2770.41</v>
      </c>
      <c r="AD206" s="117">
        <v>5371.96</v>
      </c>
      <c r="AE206" s="117">
        <v>5693.97</v>
      </c>
      <c r="AF206" s="117">
        <v>4327.91</v>
      </c>
      <c r="AG206" s="117">
        <v>6774.8600000000006</v>
      </c>
      <c r="AH206" s="117">
        <v>18437.12</v>
      </c>
      <c r="AI206" s="117">
        <v>26264.240000000002</v>
      </c>
      <c r="AJ206" s="117">
        <v>28351.4</v>
      </c>
      <c r="AK206" s="117">
        <v>7392.87</v>
      </c>
      <c r="AL206" s="117">
        <v>8329.630000000001</v>
      </c>
      <c r="AM206" s="117">
        <v>29156.95</v>
      </c>
      <c r="AN206" s="117">
        <v>20190.77</v>
      </c>
      <c r="AO206" s="150"/>
      <c r="AP206" s="117">
        <v>8338.89</v>
      </c>
      <c r="AQ206" s="117">
        <v>4668.7</v>
      </c>
      <c r="AR206" s="117">
        <v>0</v>
      </c>
      <c r="AS206" s="117">
        <v>0</v>
      </c>
      <c r="AT206" s="117">
        <v>0</v>
      </c>
      <c r="AU206" s="117">
        <v>0</v>
      </c>
      <c r="AV206" s="117">
        <v>0</v>
      </c>
      <c r="AW206" s="117">
        <v>0</v>
      </c>
      <c r="AX206" s="117">
        <v>0</v>
      </c>
      <c r="AY206" s="117">
        <v>0</v>
      </c>
      <c r="AZ206" s="117">
        <v>0</v>
      </c>
      <c r="BA206" s="117">
        <v>0</v>
      </c>
    </row>
    <row r="207" spans="1:53" s="138" customFormat="1" outlineLevel="2" x14ac:dyDescent="0.25">
      <c r="A207" s="138" t="s">
        <v>694</v>
      </c>
      <c r="B207" s="139" t="s">
        <v>695</v>
      </c>
      <c r="C207" s="140" t="s">
        <v>696</v>
      </c>
      <c r="D207" s="141"/>
      <c r="E207" s="142"/>
      <c r="F207" s="143">
        <v>87357.78</v>
      </c>
      <c r="G207" s="143">
        <v>106790.41</v>
      </c>
      <c r="H207" s="144">
        <f t="shared" si="42"/>
        <v>-19432.630000000005</v>
      </c>
      <c r="I207" s="145">
        <f t="shared" si="43"/>
        <v>-0.18196980421743866</v>
      </c>
      <c r="J207" s="146"/>
      <c r="K207" s="143">
        <v>202183.47</v>
      </c>
      <c r="L207" s="143">
        <v>212264.68</v>
      </c>
      <c r="M207" s="144">
        <f t="shared" si="44"/>
        <v>-10081.209999999992</v>
      </c>
      <c r="N207" s="145">
        <f t="shared" si="45"/>
        <v>-4.7493582069329632E-2</v>
      </c>
      <c r="O207" s="147"/>
      <c r="P207" s="146"/>
      <c r="Q207" s="143">
        <v>280873.49</v>
      </c>
      <c r="R207" s="143">
        <v>297460.69</v>
      </c>
      <c r="S207" s="144">
        <f t="shared" si="46"/>
        <v>-16587.200000000012</v>
      </c>
      <c r="T207" s="145">
        <f t="shared" si="47"/>
        <v>-5.5762662286569738E-2</v>
      </c>
      <c r="U207" s="146"/>
      <c r="V207" s="143">
        <v>955592.54999999993</v>
      </c>
      <c r="W207" s="143">
        <v>1013502.23</v>
      </c>
      <c r="X207" s="144">
        <f t="shared" si="48"/>
        <v>-57909.680000000051</v>
      </c>
      <c r="Y207" s="145">
        <f t="shared" si="49"/>
        <v>-5.7138187056579096E-2</v>
      </c>
      <c r="Z207" s="148"/>
      <c r="AA207" s="149">
        <v>85196.01</v>
      </c>
      <c r="AB207" s="150"/>
      <c r="AC207" s="117">
        <v>105474.27</v>
      </c>
      <c r="AD207" s="117">
        <v>106790.41</v>
      </c>
      <c r="AE207" s="117">
        <v>90711.58</v>
      </c>
      <c r="AF207" s="117">
        <v>82359.460000000006</v>
      </c>
      <c r="AG207" s="117">
        <v>69089.13</v>
      </c>
      <c r="AH207" s="117">
        <v>76563.75</v>
      </c>
      <c r="AI207" s="117">
        <v>67708.56</v>
      </c>
      <c r="AJ207" s="117">
        <v>78799.63</v>
      </c>
      <c r="AK207" s="117">
        <v>80514.67</v>
      </c>
      <c r="AL207" s="117">
        <v>68292.97</v>
      </c>
      <c r="AM207" s="117">
        <v>60679.31</v>
      </c>
      <c r="AN207" s="117">
        <v>78690.02</v>
      </c>
      <c r="AO207" s="150"/>
      <c r="AP207" s="117">
        <v>114825.69</v>
      </c>
      <c r="AQ207" s="117">
        <v>87357.78</v>
      </c>
      <c r="AR207" s="117">
        <v>0</v>
      </c>
      <c r="AS207" s="117">
        <v>0</v>
      </c>
      <c r="AT207" s="117">
        <v>0</v>
      </c>
      <c r="AU207" s="117">
        <v>0</v>
      </c>
      <c r="AV207" s="117">
        <v>0</v>
      </c>
      <c r="AW207" s="117">
        <v>0</v>
      </c>
      <c r="AX207" s="117">
        <v>0</v>
      </c>
      <c r="AY207" s="117">
        <v>0</v>
      </c>
      <c r="AZ207" s="117">
        <v>0</v>
      </c>
      <c r="BA207" s="117">
        <v>0</v>
      </c>
    </row>
    <row r="208" spans="1:53" s="138" customFormat="1" outlineLevel="2" x14ac:dyDescent="0.25">
      <c r="A208" s="138" t="s">
        <v>697</v>
      </c>
      <c r="B208" s="139" t="s">
        <v>698</v>
      </c>
      <c r="C208" s="140" t="s">
        <v>699</v>
      </c>
      <c r="D208" s="141"/>
      <c r="E208" s="142"/>
      <c r="F208" s="143">
        <v>0</v>
      </c>
      <c r="G208" s="143">
        <v>0</v>
      </c>
      <c r="H208" s="144">
        <f t="shared" si="42"/>
        <v>0</v>
      </c>
      <c r="I208" s="145">
        <f t="shared" si="43"/>
        <v>0</v>
      </c>
      <c r="J208" s="146"/>
      <c r="K208" s="143">
        <v>0</v>
      </c>
      <c r="L208" s="143">
        <v>0</v>
      </c>
      <c r="M208" s="144">
        <f t="shared" si="44"/>
        <v>0</v>
      </c>
      <c r="N208" s="145">
        <f t="shared" si="45"/>
        <v>0</v>
      </c>
      <c r="O208" s="147"/>
      <c r="P208" s="146"/>
      <c r="Q208" s="143">
        <v>0</v>
      </c>
      <c r="R208" s="143">
        <v>0</v>
      </c>
      <c r="S208" s="144">
        <f t="shared" si="46"/>
        <v>0</v>
      </c>
      <c r="T208" s="145">
        <f t="shared" si="47"/>
        <v>0</v>
      </c>
      <c r="U208" s="146"/>
      <c r="V208" s="143">
        <v>-138.37</v>
      </c>
      <c r="W208" s="143">
        <v>-1019.1</v>
      </c>
      <c r="X208" s="144">
        <f t="shared" si="48"/>
        <v>880.73</v>
      </c>
      <c r="Y208" s="145">
        <f t="shared" si="49"/>
        <v>0.86422333431459131</v>
      </c>
      <c r="Z208" s="148"/>
      <c r="AA208" s="149">
        <v>0</v>
      </c>
      <c r="AB208" s="150"/>
      <c r="AC208" s="117">
        <v>0</v>
      </c>
      <c r="AD208" s="117">
        <v>0</v>
      </c>
      <c r="AE208" s="117">
        <v>0</v>
      </c>
      <c r="AF208" s="117">
        <v>0</v>
      </c>
      <c r="AG208" s="117">
        <v>0</v>
      </c>
      <c r="AH208" s="117">
        <v>0</v>
      </c>
      <c r="AI208" s="117">
        <v>0</v>
      </c>
      <c r="AJ208" s="117">
        <v>0</v>
      </c>
      <c r="AK208" s="117">
        <v>0</v>
      </c>
      <c r="AL208" s="117">
        <v>0</v>
      </c>
      <c r="AM208" s="117">
        <v>-138.37</v>
      </c>
      <c r="AN208" s="117">
        <v>0</v>
      </c>
      <c r="AO208" s="150"/>
      <c r="AP208" s="117">
        <v>0</v>
      </c>
      <c r="AQ208" s="117">
        <v>0</v>
      </c>
      <c r="AR208" s="117">
        <v>0</v>
      </c>
      <c r="AS208" s="117">
        <v>0</v>
      </c>
      <c r="AT208" s="117">
        <v>0</v>
      </c>
      <c r="AU208" s="117">
        <v>0</v>
      </c>
      <c r="AV208" s="117">
        <v>0</v>
      </c>
      <c r="AW208" s="117">
        <v>0</v>
      </c>
      <c r="AX208" s="117">
        <v>0</v>
      </c>
      <c r="AY208" s="117">
        <v>0</v>
      </c>
      <c r="AZ208" s="117">
        <v>0</v>
      </c>
      <c r="BA208" s="117">
        <v>0</v>
      </c>
    </row>
    <row r="209" spans="1:53" s="138" customFormat="1" outlineLevel="2" x14ac:dyDescent="0.25">
      <c r="A209" s="138" t="s">
        <v>700</v>
      </c>
      <c r="B209" s="139" t="s">
        <v>701</v>
      </c>
      <c r="C209" s="140" t="s">
        <v>702</v>
      </c>
      <c r="D209" s="141"/>
      <c r="E209" s="142"/>
      <c r="F209" s="143">
        <v>5201.12</v>
      </c>
      <c r="G209" s="143">
        <v>7625.57</v>
      </c>
      <c r="H209" s="144">
        <f t="shared" si="42"/>
        <v>-2424.4499999999998</v>
      </c>
      <c r="I209" s="145">
        <f t="shared" si="43"/>
        <v>-0.31793688865225811</v>
      </c>
      <c r="J209" s="146"/>
      <c r="K209" s="143">
        <v>11959.960000000001</v>
      </c>
      <c r="L209" s="143">
        <v>13061.26</v>
      </c>
      <c r="M209" s="144">
        <f t="shared" si="44"/>
        <v>-1101.2999999999993</v>
      </c>
      <c r="N209" s="145">
        <f t="shared" si="45"/>
        <v>-8.4318052010296046E-2</v>
      </c>
      <c r="O209" s="147"/>
      <c r="P209" s="146"/>
      <c r="Q209" s="143">
        <v>20254.77</v>
      </c>
      <c r="R209" s="143">
        <v>21848.29</v>
      </c>
      <c r="S209" s="144">
        <f t="shared" si="46"/>
        <v>-1593.5200000000004</v>
      </c>
      <c r="T209" s="145">
        <f t="shared" si="47"/>
        <v>-7.2935685126845187E-2</v>
      </c>
      <c r="U209" s="146"/>
      <c r="V209" s="143">
        <v>115561.27</v>
      </c>
      <c r="W209" s="143">
        <v>141048.6</v>
      </c>
      <c r="X209" s="144">
        <f t="shared" si="48"/>
        <v>-25487.33</v>
      </c>
      <c r="Y209" s="145">
        <f t="shared" si="49"/>
        <v>-0.18069892221546333</v>
      </c>
      <c r="Z209" s="148"/>
      <c r="AA209" s="149">
        <v>8787.0300000000007</v>
      </c>
      <c r="AB209" s="150"/>
      <c r="AC209" s="117">
        <v>5435.6900000000005</v>
      </c>
      <c r="AD209" s="117">
        <v>7625.57</v>
      </c>
      <c r="AE209" s="117">
        <v>8508.630000000001</v>
      </c>
      <c r="AF209" s="117">
        <v>15279.37</v>
      </c>
      <c r="AG209" s="117">
        <v>8689.94</v>
      </c>
      <c r="AH209" s="117">
        <v>6351.52</v>
      </c>
      <c r="AI209" s="117">
        <v>5196.99</v>
      </c>
      <c r="AJ209" s="117">
        <v>5756.81</v>
      </c>
      <c r="AK209" s="117">
        <v>18421.61</v>
      </c>
      <c r="AL209" s="117">
        <v>20134.990000000002</v>
      </c>
      <c r="AM209" s="117">
        <v>6966.64</v>
      </c>
      <c r="AN209" s="117">
        <v>8294.81</v>
      </c>
      <c r="AO209" s="150"/>
      <c r="AP209" s="117">
        <v>6758.84</v>
      </c>
      <c r="AQ209" s="117">
        <v>5201.12</v>
      </c>
      <c r="AR209" s="117">
        <v>0</v>
      </c>
      <c r="AS209" s="117">
        <v>0</v>
      </c>
      <c r="AT209" s="117">
        <v>0</v>
      </c>
      <c r="AU209" s="117">
        <v>0</v>
      </c>
      <c r="AV209" s="117">
        <v>0</v>
      </c>
      <c r="AW209" s="117">
        <v>0</v>
      </c>
      <c r="AX209" s="117">
        <v>0</v>
      </c>
      <c r="AY209" s="117">
        <v>0</v>
      </c>
      <c r="AZ209" s="117">
        <v>0</v>
      </c>
      <c r="BA209" s="117">
        <v>0</v>
      </c>
    </row>
    <row r="210" spans="1:53" s="138" customFormat="1" outlineLevel="2" x14ac:dyDescent="0.25">
      <c r="A210" s="138" t="s">
        <v>703</v>
      </c>
      <c r="B210" s="139" t="s">
        <v>704</v>
      </c>
      <c r="C210" s="140" t="s">
        <v>705</v>
      </c>
      <c r="D210" s="141"/>
      <c r="E210" s="142"/>
      <c r="F210" s="143">
        <v>0</v>
      </c>
      <c r="G210" s="143">
        <v>0</v>
      </c>
      <c r="H210" s="144">
        <f t="shared" si="42"/>
        <v>0</v>
      </c>
      <c r="I210" s="145">
        <f t="shared" si="43"/>
        <v>0</v>
      </c>
      <c r="J210" s="146"/>
      <c r="K210" s="143">
        <v>0</v>
      </c>
      <c r="L210" s="143">
        <v>0</v>
      </c>
      <c r="M210" s="144">
        <f t="shared" si="44"/>
        <v>0</v>
      </c>
      <c r="N210" s="145">
        <f t="shared" si="45"/>
        <v>0</v>
      </c>
      <c r="O210" s="147"/>
      <c r="P210" s="146"/>
      <c r="Q210" s="143">
        <v>0</v>
      </c>
      <c r="R210" s="143">
        <v>0</v>
      </c>
      <c r="S210" s="144">
        <f t="shared" si="46"/>
        <v>0</v>
      </c>
      <c r="T210" s="145">
        <f t="shared" si="47"/>
        <v>0</v>
      </c>
      <c r="U210" s="146"/>
      <c r="V210" s="143">
        <v>0</v>
      </c>
      <c r="W210" s="143">
        <v>109.56</v>
      </c>
      <c r="X210" s="144">
        <f t="shared" si="48"/>
        <v>-109.56</v>
      </c>
      <c r="Y210" s="145" t="str">
        <f t="shared" si="49"/>
        <v>N.M.</v>
      </c>
      <c r="Z210" s="148"/>
      <c r="AA210" s="149">
        <v>0</v>
      </c>
      <c r="AB210" s="150"/>
      <c r="AC210" s="117">
        <v>0</v>
      </c>
      <c r="AD210" s="117">
        <v>0</v>
      </c>
      <c r="AE210" s="117">
        <v>0</v>
      </c>
      <c r="AF210" s="117">
        <v>0</v>
      </c>
      <c r="AG210" s="117">
        <v>0</v>
      </c>
      <c r="AH210" s="117">
        <v>0</v>
      </c>
      <c r="AI210" s="117">
        <v>0</v>
      </c>
      <c r="AJ210" s="117">
        <v>0</v>
      </c>
      <c r="AK210" s="117">
        <v>0</v>
      </c>
      <c r="AL210" s="117">
        <v>0</v>
      </c>
      <c r="AM210" s="117">
        <v>0</v>
      </c>
      <c r="AN210" s="117">
        <v>0</v>
      </c>
      <c r="AO210" s="150"/>
      <c r="AP210" s="117">
        <v>0</v>
      </c>
      <c r="AQ210" s="117">
        <v>0</v>
      </c>
      <c r="AR210" s="117">
        <v>0</v>
      </c>
      <c r="AS210" s="117">
        <v>0</v>
      </c>
      <c r="AT210" s="117">
        <v>0</v>
      </c>
      <c r="AU210" s="117">
        <v>0</v>
      </c>
      <c r="AV210" s="117">
        <v>0</v>
      </c>
      <c r="AW210" s="117">
        <v>0</v>
      </c>
      <c r="AX210" s="117">
        <v>0</v>
      </c>
      <c r="AY210" s="117">
        <v>0</v>
      </c>
      <c r="AZ210" s="117">
        <v>0</v>
      </c>
      <c r="BA210" s="117">
        <v>0</v>
      </c>
    </row>
    <row r="211" spans="1:53" s="138" customFormat="1" outlineLevel="2" x14ac:dyDescent="0.25">
      <c r="A211" s="138" t="s">
        <v>706</v>
      </c>
      <c r="B211" s="139" t="s">
        <v>707</v>
      </c>
      <c r="C211" s="140" t="s">
        <v>708</v>
      </c>
      <c r="D211" s="141"/>
      <c r="E211" s="142"/>
      <c r="F211" s="143">
        <v>1116.75</v>
      </c>
      <c r="G211" s="143">
        <v>1335.04</v>
      </c>
      <c r="H211" s="144">
        <f t="shared" si="42"/>
        <v>-218.28999999999996</v>
      </c>
      <c r="I211" s="145">
        <f t="shared" si="43"/>
        <v>-0.16350820949185041</v>
      </c>
      <c r="J211" s="146"/>
      <c r="K211" s="143">
        <v>6571.79</v>
      </c>
      <c r="L211" s="143">
        <v>2573.79</v>
      </c>
      <c r="M211" s="144">
        <f t="shared" si="44"/>
        <v>3998</v>
      </c>
      <c r="N211" s="145">
        <f t="shared" si="45"/>
        <v>1.5533512835157492</v>
      </c>
      <c r="O211" s="147"/>
      <c r="P211" s="146"/>
      <c r="Q211" s="143">
        <v>11379.19</v>
      </c>
      <c r="R211" s="143">
        <v>3446.09</v>
      </c>
      <c r="S211" s="144">
        <f t="shared" si="46"/>
        <v>7933.1</v>
      </c>
      <c r="T211" s="145">
        <f t="shared" si="47"/>
        <v>2.3020582747403577</v>
      </c>
      <c r="U211" s="146"/>
      <c r="V211" s="143">
        <v>44686.66</v>
      </c>
      <c r="W211" s="143">
        <v>46102.400000000001</v>
      </c>
      <c r="X211" s="144">
        <f t="shared" si="48"/>
        <v>-1415.739999999998</v>
      </c>
      <c r="Y211" s="145">
        <f t="shared" si="49"/>
        <v>-3.0708596515582658E-2</v>
      </c>
      <c r="Z211" s="148"/>
      <c r="AA211" s="149">
        <v>872.30000000000007</v>
      </c>
      <c r="AB211" s="150"/>
      <c r="AC211" s="117">
        <v>1238.75</v>
      </c>
      <c r="AD211" s="117">
        <v>1335.04</v>
      </c>
      <c r="AE211" s="117">
        <v>1368.16</v>
      </c>
      <c r="AF211" s="117">
        <v>968.33</v>
      </c>
      <c r="AG211" s="117">
        <v>1675.69</v>
      </c>
      <c r="AH211" s="117">
        <v>4699.55</v>
      </c>
      <c r="AI211" s="117">
        <v>6443.25</v>
      </c>
      <c r="AJ211" s="117">
        <v>7049.55</v>
      </c>
      <c r="AK211" s="117">
        <v>1547.51</v>
      </c>
      <c r="AL211" s="117">
        <v>2079.9499999999998</v>
      </c>
      <c r="AM211" s="117">
        <v>7475.4800000000005</v>
      </c>
      <c r="AN211" s="117">
        <v>4807.4000000000005</v>
      </c>
      <c r="AO211" s="150"/>
      <c r="AP211" s="117">
        <v>5455.04</v>
      </c>
      <c r="AQ211" s="117">
        <v>1116.75</v>
      </c>
      <c r="AR211" s="117">
        <v>-6.34</v>
      </c>
      <c r="AS211" s="117">
        <v>0</v>
      </c>
      <c r="AT211" s="117">
        <v>0</v>
      </c>
      <c r="AU211" s="117">
        <v>0</v>
      </c>
      <c r="AV211" s="117">
        <v>0</v>
      </c>
      <c r="AW211" s="117">
        <v>0</v>
      </c>
      <c r="AX211" s="117">
        <v>0</v>
      </c>
      <c r="AY211" s="117">
        <v>0</v>
      </c>
      <c r="AZ211" s="117">
        <v>0</v>
      </c>
      <c r="BA211" s="117">
        <v>0</v>
      </c>
    </row>
    <row r="212" spans="1:53" s="138" customFormat="1" outlineLevel="2" x14ac:dyDescent="0.25">
      <c r="A212" s="138" t="s">
        <v>709</v>
      </c>
      <c r="B212" s="139" t="s">
        <v>710</v>
      </c>
      <c r="C212" s="140" t="s">
        <v>711</v>
      </c>
      <c r="D212" s="141"/>
      <c r="E212" s="142"/>
      <c r="F212" s="143">
        <v>21182.91</v>
      </c>
      <c r="G212" s="143">
        <v>25535.23</v>
      </c>
      <c r="H212" s="144">
        <f t="shared" si="42"/>
        <v>-4352.32</v>
      </c>
      <c r="I212" s="145">
        <f t="shared" si="43"/>
        <v>-0.17044373596791568</v>
      </c>
      <c r="J212" s="146"/>
      <c r="K212" s="143">
        <v>62577.8</v>
      </c>
      <c r="L212" s="143">
        <v>70529.31</v>
      </c>
      <c r="M212" s="144">
        <f t="shared" si="44"/>
        <v>-7951.5099999999948</v>
      </c>
      <c r="N212" s="145">
        <f t="shared" si="45"/>
        <v>-0.11274050462141194</v>
      </c>
      <c r="O212" s="147"/>
      <c r="P212" s="146"/>
      <c r="Q212" s="143">
        <v>82224.58</v>
      </c>
      <c r="R212" s="143">
        <v>92146.32</v>
      </c>
      <c r="S212" s="144">
        <f t="shared" si="46"/>
        <v>-9921.7400000000052</v>
      </c>
      <c r="T212" s="145">
        <f t="shared" si="47"/>
        <v>-0.10767375191977287</v>
      </c>
      <c r="U212" s="146"/>
      <c r="V212" s="143">
        <v>244770.02000000002</v>
      </c>
      <c r="W212" s="143">
        <v>253042.15</v>
      </c>
      <c r="X212" s="144">
        <f t="shared" si="48"/>
        <v>-8272.1299999999756</v>
      </c>
      <c r="Y212" s="145">
        <f t="shared" si="49"/>
        <v>-3.2690719708159198E-2</v>
      </c>
      <c r="Z212" s="148"/>
      <c r="AA212" s="149">
        <v>21617.010000000002</v>
      </c>
      <c r="AB212" s="150"/>
      <c r="AC212" s="117">
        <v>44994.080000000002</v>
      </c>
      <c r="AD212" s="117">
        <v>25535.23</v>
      </c>
      <c r="AE212" s="117">
        <v>21712.920000000002</v>
      </c>
      <c r="AF212" s="117">
        <v>19188.689999999999</v>
      </c>
      <c r="AG212" s="117">
        <v>16095.81</v>
      </c>
      <c r="AH212" s="117">
        <v>18827.75</v>
      </c>
      <c r="AI212" s="117">
        <v>16336.08</v>
      </c>
      <c r="AJ212" s="117">
        <v>19658.560000000001</v>
      </c>
      <c r="AK212" s="117">
        <v>19730.86</v>
      </c>
      <c r="AL212" s="117">
        <v>16348.49</v>
      </c>
      <c r="AM212" s="117">
        <v>14646.28</v>
      </c>
      <c r="AN212" s="117">
        <v>19646.78</v>
      </c>
      <c r="AO212" s="150"/>
      <c r="AP212" s="117">
        <v>41394.89</v>
      </c>
      <c r="AQ212" s="117">
        <v>21182.91</v>
      </c>
      <c r="AR212" s="117">
        <v>-293.01</v>
      </c>
      <c r="AS212" s="117">
        <v>0</v>
      </c>
      <c r="AT212" s="117">
        <v>0</v>
      </c>
      <c r="AU212" s="117">
        <v>0</v>
      </c>
      <c r="AV212" s="117">
        <v>0</v>
      </c>
      <c r="AW212" s="117">
        <v>0</v>
      </c>
      <c r="AX212" s="117">
        <v>0</v>
      </c>
      <c r="AY212" s="117">
        <v>0</v>
      </c>
      <c r="AZ212" s="117">
        <v>0</v>
      </c>
      <c r="BA212" s="117">
        <v>0</v>
      </c>
    </row>
    <row r="213" spans="1:53" s="138" customFormat="1" outlineLevel="2" x14ac:dyDescent="0.25">
      <c r="A213" s="138" t="s">
        <v>712</v>
      </c>
      <c r="B213" s="139" t="s">
        <v>713</v>
      </c>
      <c r="C213" s="140" t="s">
        <v>714</v>
      </c>
      <c r="D213" s="141"/>
      <c r="E213" s="142"/>
      <c r="F213" s="143">
        <v>17422.34</v>
      </c>
      <c r="G213" s="143">
        <v>22026.27</v>
      </c>
      <c r="H213" s="144">
        <f t="shared" si="42"/>
        <v>-4603.93</v>
      </c>
      <c r="I213" s="145">
        <f t="shared" si="43"/>
        <v>-0.20901995662452155</v>
      </c>
      <c r="J213" s="146"/>
      <c r="K213" s="143">
        <v>30471.43</v>
      </c>
      <c r="L213" s="143">
        <v>21582.21</v>
      </c>
      <c r="M213" s="144">
        <f t="shared" si="44"/>
        <v>8889.2200000000012</v>
      </c>
      <c r="N213" s="145">
        <f t="shared" si="45"/>
        <v>0.41187718959272485</v>
      </c>
      <c r="O213" s="147"/>
      <c r="P213" s="146"/>
      <c r="Q213" s="143">
        <v>59550.9</v>
      </c>
      <c r="R213" s="143">
        <v>58669.23</v>
      </c>
      <c r="S213" s="144">
        <f t="shared" si="46"/>
        <v>881.66999999999825</v>
      </c>
      <c r="T213" s="145">
        <f t="shared" si="47"/>
        <v>1.5027809296286967E-2</v>
      </c>
      <c r="U213" s="146"/>
      <c r="V213" s="143">
        <v>238026.94</v>
      </c>
      <c r="W213" s="143">
        <v>448416.30000000005</v>
      </c>
      <c r="X213" s="144">
        <f t="shared" si="48"/>
        <v>-210389.36000000004</v>
      </c>
      <c r="Y213" s="145">
        <f t="shared" si="49"/>
        <v>-0.46918312291502345</v>
      </c>
      <c r="Z213" s="148"/>
      <c r="AA213" s="149">
        <v>37087.020000000004</v>
      </c>
      <c r="AB213" s="150"/>
      <c r="AC213" s="117">
        <v>-444.06</v>
      </c>
      <c r="AD213" s="117">
        <v>22026.27</v>
      </c>
      <c r="AE213" s="117">
        <v>10148.77</v>
      </c>
      <c r="AF213" s="117">
        <v>435.74</v>
      </c>
      <c r="AG213" s="117">
        <v>24339.81</v>
      </c>
      <c r="AH213" s="117">
        <v>21068.560000000001</v>
      </c>
      <c r="AI213" s="117">
        <v>55986.33</v>
      </c>
      <c r="AJ213" s="117">
        <v>12513.79</v>
      </c>
      <c r="AK213" s="117">
        <v>23342.62</v>
      </c>
      <c r="AL213" s="117">
        <v>15885.59</v>
      </c>
      <c r="AM213" s="117">
        <v>14754.83</v>
      </c>
      <c r="AN213" s="117">
        <v>29079.47</v>
      </c>
      <c r="AO213" s="150"/>
      <c r="AP213" s="117">
        <v>13049.09</v>
      </c>
      <c r="AQ213" s="117">
        <v>17422.34</v>
      </c>
      <c r="AR213" s="117">
        <v>-14443.07</v>
      </c>
      <c r="AS213" s="117">
        <v>0</v>
      </c>
      <c r="AT213" s="117">
        <v>0</v>
      </c>
      <c r="AU213" s="117">
        <v>0</v>
      </c>
      <c r="AV213" s="117">
        <v>0</v>
      </c>
      <c r="AW213" s="117">
        <v>0</v>
      </c>
      <c r="AX213" s="117">
        <v>0</v>
      </c>
      <c r="AY213" s="117">
        <v>0</v>
      </c>
      <c r="AZ213" s="117">
        <v>0</v>
      </c>
      <c r="BA213" s="117">
        <v>0</v>
      </c>
    </row>
    <row r="214" spans="1:53" s="138" customFormat="1" outlineLevel="2" x14ac:dyDescent="0.25">
      <c r="A214" s="138" t="s">
        <v>715</v>
      </c>
      <c r="B214" s="139" t="s">
        <v>716</v>
      </c>
      <c r="C214" s="140" t="s">
        <v>717</v>
      </c>
      <c r="D214" s="141"/>
      <c r="E214" s="142"/>
      <c r="F214" s="143">
        <v>45770.5</v>
      </c>
      <c r="G214" s="143">
        <v>592.28</v>
      </c>
      <c r="H214" s="144">
        <f t="shared" si="42"/>
        <v>45178.22</v>
      </c>
      <c r="I214" s="145" t="str">
        <f t="shared" si="43"/>
        <v>N.M.</v>
      </c>
      <c r="J214" s="146"/>
      <c r="K214" s="143">
        <v>47822.89</v>
      </c>
      <c r="L214" s="143">
        <v>3029.34</v>
      </c>
      <c r="M214" s="144">
        <f t="shared" si="44"/>
        <v>44793.55</v>
      </c>
      <c r="N214" s="145" t="str">
        <f t="shared" si="45"/>
        <v>N.M.</v>
      </c>
      <c r="O214" s="147"/>
      <c r="P214" s="146"/>
      <c r="Q214" s="143">
        <v>49528.959999999999</v>
      </c>
      <c r="R214" s="143">
        <v>10350.030000000001</v>
      </c>
      <c r="S214" s="144">
        <f t="shared" si="46"/>
        <v>39178.93</v>
      </c>
      <c r="T214" s="145">
        <f t="shared" si="47"/>
        <v>3.7853928925809877</v>
      </c>
      <c r="U214" s="146"/>
      <c r="V214" s="143">
        <v>161807.38</v>
      </c>
      <c r="W214" s="143">
        <v>131130.56</v>
      </c>
      <c r="X214" s="144">
        <f t="shared" si="48"/>
        <v>30676.820000000007</v>
      </c>
      <c r="Y214" s="145">
        <f t="shared" si="49"/>
        <v>0.23394104318627182</v>
      </c>
      <c r="Z214" s="148"/>
      <c r="AA214" s="149">
        <v>7320.6900000000005</v>
      </c>
      <c r="AB214" s="150"/>
      <c r="AC214" s="117">
        <v>2437.06</v>
      </c>
      <c r="AD214" s="117">
        <v>592.28</v>
      </c>
      <c r="AE214" s="117">
        <v>1338.16</v>
      </c>
      <c r="AF214" s="117">
        <v>36710.04</v>
      </c>
      <c r="AG214" s="117">
        <v>22433.83</v>
      </c>
      <c r="AH214" s="117">
        <v>4303.28</v>
      </c>
      <c r="AI214" s="117">
        <v>2266.5300000000002</v>
      </c>
      <c r="AJ214" s="117">
        <v>3637.48</v>
      </c>
      <c r="AK214" s="117">
        <v>557.29</v>
      </c>
      <c r="AL214" s="117">
        <v>12091.130000000001</v>
      </c>
      <c r="AM214" s="117">
        <v>28940.68</v>
      </c>
      <c r="AN214" s="117">
        <v>1706.07</v>
      </c>
      <c r="AO214" s="150"/>
      <c r="AP214" s="117">
        <v>2052.39</v>
      </c>
      <c r="AQ214" s="117">
        <v>45770.5</v>
      </c>
      <c r="AR214" s="117">
        <v>123.16</v>
      </c>
      <c r="AS214" s="117">
        <v>0</v>
      </c>
      <c r="AT214" s="117">
        <v>0</v>
      </c>
      <c r="AU214" s="117">
        <v>0</v>
      </c>
      <c r="AV214" s="117">
        <v>0</v>
      </c>
      <c r="AW214" s="117">
        <v>0</v>
      </c>
      <c r="AX214" s="117">
        <v>0</v>
      </c>
      <c r="AY214" s="117">
        <v>0</v>
      </c>
      <c r="AZ214" s="117">
        <v>0</v>
      </c>
      <c r="BA214" s="117">
        <v>0</v>
      </c>
    </row>
    <row r="215" spans="1:53" s="138" customFormat="1" outlineLevel="2" x14ac:dyDescent="0.25">
      <c r="A215" s="138" t="s">
        <v>718</v>
      </c>
      <c r="B215" s="139" t="s">
        <v>719</v>
      </c>
      <c r="C215" s="140" t="s">
        <v>720</v>
      </c>
      <c r="D215" s="141"/>
      <c r="E215" s="142"/>
      <c r="F215" s="143">
        <v>0</v>
      </c>
      <c r="G215" s="143">
        <v>0</v>
      </c>
      <c r="H215" s="144">
        <f t="shared" si="42"/>
        <v>0</v>
      </c>
      <c r="I215" s="145">
        <f t="shared" si="43"/>
        <v>0</v>
      </c>
      <c r="J215" s="146"/>
      <c r="K215" s="143">
        <v>0</v>
      </c>
      <c r="L215" s="143">
        <v>0</v>
      </c>
      <c r="M215" s="144">
        <f t="shared" si="44"/>
        <v>0</v>
      </c>
      <c r="N215" s="145">
        <f t="shared" si="45"/>
        <v>0</v>
      </c>
      <c r="O215" s="147"/>
      <c r="P215" s="146"/>
      <c r="Q215" s="143">
        <v>0</v>
      </c>
      <c r="R215" s="143">
        <v>0</v>
      </c>
      <c r="S215" s="144">
        <f t="shared" si="46"/>
        <v>0</v>
      </c>
      <c r="T215" s="145">
        <f t="shared" si="47"/>
        <v>0</v>
      </c>
      <c r="U215" s="146"/>
      <c r="V215" s="143">
        <v>0</v>
      </c>
      <c r="W215" s="143">
        <v>-1.8</v>
      </c>
      <c r="X215" s="144">
        <f t="shared" si="48"/>
        <v>1.8</v>
      </c>
      <c r="Y215" s="145" t="str">
        <f t="shared" si="49"/>
        <v>N.M.</v>
      </c>
      <c r="Z215" s="148"/>
      <c r="AA215" s="149">
        <v>0</v>
      </c>
      <c r="AB215" s="150"/>
      <c r="AC215" s="117">
        <v>0</v>
      </c>
      <c r="AD215" s="117">
        <v>0</v>
      </c>
      <c r="AE215" s="117">
        <v>0</v>
      </c>
      <c r="AF215" s="117">
        <v>0</v>
      </c>
      <c r="AG215" s="117">
        <v>0</v>
      </c>
      <c r="AH215" s="117">
        <v>0</v>
      </c>
      <c r="AI215" s="117">
        <v>0</v>
      </c>
      <c r="AJ215" s="117">
        <v>0</v>
      </c>
      <c r="AK215" s="117">
        <v>0</v>
      </c>
      <c r="AL215" s="117">
        <v>0</v>
      </c>
      <c r="AM215" s="117">
        <v>0</v>
      </c>
      <c r="AN215" s="117">
        <v>0</v>
      </c>
      <c r="AO215" s="150"/>
      <c r="AP215" s="117">
        <v>0</v>
      </c>
      <c r="AQ215" s="117">
        <v>0</v>
      </c>
      <c r="AR215" s="117">
        <v>0</v>
      </c>
      <c r="AS215" s="117">
        <v>0</v>
      </c>
      <c r="AT215" s="117">
        <v>0</v>
      </c>
      <c r="AU215" s="117">
        <v>0</v>
      </c>
      <c r="AV215" s="117">
        <v>0</v>
      </c>
      <c r="AW215" s="117">
        <v>0</v>
      </c>
      <c r="AX215" s="117">
        <v>0</v>
      </c>
      <c r="AY215" s="117">
        <v>0</v>
      </c>
      <c r="AZ215" s="117">
        <v>0</v>
      </c>
      <c r="BA215" s="117">
        <v>0</v>
      </c>
    </row>
    <row r="216" spans="1:53" s="138" customFormat="1" outlineLevel="2" x14ac:dyDescent="0.25">
      <c r="A216" s="138" t="s">
        <v>721</v>
      </c>
      <c r="B216" s="139" t="s">
        <v>722</v>
      </c>
      <c r="C216" s="140" t="s">
        <v>723</v>
      </c>
      <c r="D216" s="141"/>
      <c r="E216" s="142"/>
      <c r="F216" s="143">
        <v>9666</v>
      </c>
      <c r="G216" s="143">
        <v>13130.6</v>
      </c>
      <c r="H216" s="144">
        <f t="shared" si="42"/>
        <v>-3464.6000000000004</v>
      </c>
      <c r="I216" s="145">
        <f t="shared" si="43"/>
        <v>-0.26385694484638939</v>
      </c>
      <c r="J216" s="146"/>
      <c r="K216" s="143">
        <v>22758</v>
      </c>
      <c r="L216" s="143">
        <v>29090.600000000002</v>
      </c>
      <c r="M216" s="144">
        <f t="shared" si="44"/>
        <v>-6332.6000000000022</v>
      </c>
      <c r="N216" s="145">
        <f t="shared" si="45"/>
        <v>-0.21768543790777783</v>
      </c>
      <c r="O216" s="147"/>
      <c r="P216" s="146"/>
      <c r="Q216" s="143">
        <v>36843</v>
      </c>
      <c r="R216" s="143">
        <v>40106.600000000006</v>
      </c>
      <c r="S216" s="144">
        <f t="shared" si="46"/>
        <v>-3263.6000000000058</v>
      </c>
      <c r="T216" s="145">
        <f t="shared" si="47"/>
        <v>-8.1373140580353498E-2</v>
      </c>
      <c r="U216" s="146"/>
      <c r="V216" s="143">
        <v>118609.60000000001</v>
      </c>
      <c r="W216" s="143">
        <v>138766.1</v>
      </c>
      <c r="X216" s="144">
        <f t="shared" si="48"/>
        <v>-20156.5</v>
      </c>
      <c r="Y216" s="145">
        <f t="shared" si="49"/>
        <v>-0.14525521723245086</v>
      </c>
      <c r="Z216" s="148"/>
      <c r="AA216" s="149">
        <v>11016</v>
      </c>
      <c r="AB216" s="150"/>
      <c r="AC216" s="117">
        <v>15960</v>
      </c>
      <c r="AD216" s="117">
        <v>13130.6</v>
      </c>
      <c r="AE216" s="117">
        <v>8536.6</v>
      </c>
      <c r="AF216" s="117">
        <v>9046.5</v>
      </c>
      <c r="AG216" s="117">
        <v>7683</v>
      </c>
      <c r="AH216" s="117">
        <v>8053.5</v>
      </c>
      <c r="AI216" s="117">
        <v>11266.5</v>
      </c>
      <c r="AJ216" s="117">
        <v>10453.5</v>
      </c>
      <c r="AK216" s="117">
        <v>8508</v>
      </c>
      <c r="AL216" s="117">
        <v>8382</v>
      </c>
      <c r="AM216" s="117">
        <v>9837</v>
      </c>
      <c r="AN216" s="117">
        <v>14085</v>
      </c>
      <c r="AO216" s="150"/>
      <c r="AP216" s="117">
        <v>13092</v>
      </c>
      <c r="AQ216" s="117">
        <v>9666</v>
      </c>
      <c r="AR216" s="117">
        <v>0</v>
      </c>
      <c r="AS216" s="117">
        <v>0</v>
      </c>
      <c r="AT216" s="117">
        <v>0</v>
      </c>
      <c r="AU216" s="117">
        <v>0</v>
      </c>
      <c r="AV216" s="117">
        <v>0</v>
      </c>
      <c r="AW216" s="117">
        <v>0</v>
      </c>
      <c r="AX216" s="117">
        <v>0</v>
      </c>
      <c r="AY216" s="117">
        <v>0</v>
      </c>
      <c r="AZ216" s="117">
        <v>0</v>
      </c>
      <c r="BA216" s="117">
        <v>0</v>
      </c>
    </row>
    <row r="217" spans="1:53" s="138" customFormat="1" outlineLevel="2" x14ac:dyDescent="0.25">
      <c r="A217" s="138" t="s">
        <v>724</v>
      </c>
      <c r="B217" s="139" t="s">
        <v>725</v>
      </c>
      <c r="C217" s="140" t="s">
        <v>726</v>
      </c>
      <c r="D217" s="141"/>
      <c r="E217" s="142"/>
      <c r="F217" s="143">
        <v>0</v>
      </c>
      <c r="G217" s="143">
        <v>0</v>
      </c>
      <c r="H217" s="144">
        <f t="shared" si="42"/>
        <v>0</v>
      </c>
      <c r="I217" s="145">
        <f t="shared" si="43"/>
        <v>0</v>
      </c>
      <c r="J217" s="146"/>
      <c r="K217" s="143">
        <v>0</v>
      </c>
      <c r="L217" s="143">
        <v>0</v>
      </c>
      <c r="M217" s="144">
        <f t="shared" si="44"/>
        <v>0</v>
      </c>
      <c r="N217" s="145">
        <f t="shared" si="45"/>
        <v>0</v>
      </c>
      <c r="O217" s="147"/>
      <c r="P217" s="146"/>
      <c r="Q217" s="143">
        <v>0</v>
      </c>
      <c r="R217" s="143">
        <v>0</v>
      </c>
      <c r="S217" s="144">
        <f t="shared" si="46"/>
        <v>0</v>
      </c>
      <c r="T217" s="145">
        <f t="shared" si="47"/>
        <v>0</v>
      </c>
      <c r="U217" s="146"/>
      <c r="V217" s="143">
        <v>0</v>
      </c>
      <c r="W217" s="143">
        <v>0</v>
      </c>
      <c r="X217" s="144">
        <f t="shared" si="48"/>
        <v>0</v>
      </c>
      <c r="Y217" s="145">
        <f t="shared" si="49"/>
        <v>0</v>
      </c>
      <c r="Z217" s="148"/>
      <c r="AA217" s="149">
        <v>0</v>
      </c>
      <c r="AB217" s="150"/>
      <c r="AC217" s="117">
        <v>0</v>
      </c>
      <c r="AD217" s="117">
        <v>0</v>
      </c>
      <c r="AE217" s="117">
        <v>0</v>
      </c>
      <c r="AF217" s="117">
        <v>0</v>
      </c>
      <c r="AG217" s="117">
        <v>0</v>
      </c>
      <c r="AH217" s="117">
        <v>0</v>
      </c>
      <c r="AI217" s="117">
        <v>0</v>
      </c>
      <c r="AJ217" s="117">
        <v>0</v>
      </c>
      <c r="AK217" s="117">
        <v>0</v>
      </c>
      <c r="AL217" s="117">
        <v>0</v>
      </c>
      <c r="AM217" s="117">
        <v>0</v>
      </c>
      <c r="AN217" s="117">
        <v>0</v>
      </c>
      <c r="AO217" s="150"/>
      <c r="AP217" s="117">
        <v>0</v>
      </c>
      <c r="AQ217" s="117">
        <v>0</v>
      </c>
      <c r="AR217" s="117">
        <v>4940914.82</v>
      </c>
      <c r="AS217" s="117">
        <v>0</v>
      </c>
      <c r="AT217" s="117">
        <v>0</v>
      </c>
      <c r="AU217" s="117">
        <v>0</v>
      </c>
      <c r="AV217" s="117">
        <v>0</v>
      </c>
      <c r="AW217" s="117">
        <v>0</v>
      </c>
      <c r="AX217" s="117">
        <v>0</v>
      </c>
      <c r="AY217" s="117">
        <v>0</v>
      </c>
      <c r="AZ217" s="117">
        <v>0</v>
      </c>
      <c r="BA217" s="117">
        <v>0</v>
      </c>
    </row>
    <row r="218" spans="1:53" s="138" customFormat="1" outlineLevel="2" x14ac:dyDescent="0.25">
      <c r="A218" s="138" t="s">
        <v>727</v>
      </c>
      <c r="B218" s="139" t="s">
        <v>728</v>
      </c>
      <c r="C218" s="140" t="s">
        <v>729</v>
      </c>
      <c r="D218" s="141"/>
      <c r="E218" s="142"/>
      <c r="F218" s="143">
        <v>446334.09</v>
      </c>
      <c r="G218" s="143">
        <v>478370.14</v>
      </c>
      <c r="H218" s="144">
        <f t="shared" si="42"/>
        <v>-32036.049999999988</v>
      </c>
      <c r="I218" s="145">
        <f t="shared" si="43"/>
        <v>-6.6969167431729718E-2</v>
      </c>
      <c r="J218" s="146"/>
      <c r="K218" s="143">
        <v>826187.36</v>
      </c>
      <c r="L218" s="143">
        <v>968054.67</v>
      </c>
      <c r="M218" s="144">
        <f t="shared" si="44"/>
        <v>-141867.31000000006</v>
      </c>
      <c r="N218" s="145">
        <f t="shared" si="45"/>
        <v>-0.14654886174971921</v>
      </c>
      <c r="O218" s="147"/>
      <c r="P218" s="146"/>
      <c r="Q218" s="143">
        <v>1286477.79</v>
      </c>
      <c r="R218" s="143">
        <v>1432449.9100000001</v>
      </c>
      <c r="S218" s="144">
        <f t="shared" si="46"/>
        <v>-145972.12000000011</v>
      </c>
      <c r="T218" s="145">
        <f t="shared" si="47"/>
        <v>-0.10190382154444765</v>
      </c>
      <c r="U218" s="146"/>
      <c r="V218" s="143">
        <v>5509858.8400000008</v>
      </c>
      <c r="W218" s="143">
        <v>5592487.5099999998</v>
      </c>
      <c r="X218" s="144">
        <f t="shared" si="48"/>
        <v>-82628.669999998994</v>
      </c>
      <c r="Y218" s="145">
        <f t="shared" si="49"/>
        <v>-1.4774940462942402E-2</v>
      </c>
      <c r="Z218" s="148"/>
      <c r="AA218" s="149">
        <v>464395.24</v>
      </c>
      <c r="AB218" s="150"/>
      <c r="AC218" s="117">
        <v>489684.53</v>
      </c>
      <c r="AD218" s="117">
        <v>478370.14</v>
      </c>
      <c r="AE218" s="117">
        <v>492511.41000000003</v>
      </c>
      <c r="AF218" s="117">
        <v>485840.60000000003</v>
      </c>
      <c r="AG218" s="117">
        <v>494497.29000000004</v>
      </c>
      <c r="AH218" s="117">
        <v>456144.92</v>
      </c>
      <c r="AI218" s="117">
        <v>450858.76</v>
      </c>
      <c r="AJ218" s="117">
        <v>461465.46</v>
      </c>
      <c r="AK218" s="117">
        <v>461006.92</v>
      </c>
      <c r="AL218" s="117">
        <v>460290.42</v>
      </c>
      <c r="AM218" s="117">
        <v>460765.27</v>
      </c>
      <c r="AN218" s="117">
        <v>460290.43</v>
      </c>
      <c r="AO218" s="150"/>
      <c r="AP218" s="117">
        <v>379853.27</v>
      </c>
      <c r="AQ218" s="117">
        <v>446334.09</v>
      </c>
      <c r="AR218" s="117">
        <v>261903.25</v>
      </c>
      <c r="AS218" s="117">
        <v>0</v>
      </c>
      <c r="AT218" s="117">
        <v>0</v>
      </c>
      <c r="AU218" s="117">
        <v>0</v>
      </c>
      <c r="AV218" s="117">
        <v>0</v>
      </c>
      <c r="AW218" s="117">
        <v>0</v>
      </c>
      <c r="AX218" s="117">
        <v>0</v>
      </c>
      <c r="AY218" s="117">
        <v>0</v>
      </c>
      <c r="AZ218" s="117">
        <v>0</v>
      </c>
      <c r="BA218" s="117">
        <v>0</v>
      </c>
    </row>
    <row r="219" spans="1:53" s="138" customFormat="1" outlineLevel="2" x14ac:dyDescent="0.25">
      <c r="A219" s="138" t="s">
        <v>730</v>
      </c>
      <c r="B219" s="139" t="s">
        <v>731</v>
      </c>
      <c r="C219" s="140" t="s">
        <v>732</v>
      </c>
      <c r="D219" s="141"/>
      <c r="E219" s="142"/>
      <c r="F219" s="143">
        <v>0</v>
      </c>
      <c r="G219" s="143">
        <v>0</v>
      </c>
      <c r="H219" s="144">
        <f t="shared" si="42"/>
        <v>0</v>
      </c>
      <c r="I219" s="145">
        <f t="shared" si="43"/>
        <v>0</v>
      </c>
      <c r="J219" s="146"/>
      <c r="K219" s="143">
        <v>0</v>
      </c>
      <c r="L219" s="143">
        <v>0</v>
      </c>
      <c r="M219" s="144">
        <f t="shared" si="44"/>
        <v>0</v>
      </c>
      <c r="N219" s="145">
        <f t="shared" si="45"/>
        <v>0</v>
      </c>
      <c r="O219" s="147"/>
      <c r="P219" s="146"/>
      <c r="Q219" s="143">
        <v>0</v>
      </c>
      <c r="R219" s="143">
        <v>0</v>
      </c>
      <c r="S219" s="144">
        <f t="shared" si="46"/>
        <v>0</v>
      </c>
      <c r="T219" s="145">
        <f t="shared" si="47"/>
        <v>0</v>
      </c>
      <c r="U219" s="146"/>
      <c r="V219" s="143">
        <v>0</v>
      </c>
      <c r="W219" s="143">
        <v>17338.159</v>
      </c>
      <c r="X219" s="144">
        <f t="shared" si="48"/>
        <v>-17338.159</v>
      </c>
      <c r="Y219" s="145" t="str">
        <f t="shared" si="49"/>
        <v>N.M.</v>
      </c>
      <c r="Z219" s="148"/>
      <c r="AA219" s="149">
        <v>0</v>
      </c>
      <c r="AB219" s="150"/>
      <c r="AC219" s="117">
        <v>0</v>
      </c>
      <c r="AD219" s="117">
        <v>0</v>
      </c>
      <c r="AE219" s="117">
        <v>0</v>
      </c>
      <c r="AF219" s="117">
        <v>0</v>
      </c>
      <c r="AG219" s="117">
        <v>0</v>
      </c>
      <c r="AH219" s="117">
        <v>0</v>
      </c>
      <c r="AI219" s="117">
        <v>0</v>
      </c>
      <c r="AJ219" s="117">
        <v>0</v>
      </c>
      <c r="AK219" s="117">
        <v>0</v>
      </c>
      <c r="AL219" s="117">
        <v>0</v>
      </c>
      <c r="AM219" s="117">
        <v>0</v>
      </c>
      <c r="AN219" s="117">
        <v>0</v>
      </c>
      <c r="AO219" s="150"/>
      <c r="AP219" s="117">
        <v>0</v>
      </c>
      <c r="AQ219" s="117">
        <v>0</v>
      </c>
      <c r="AR219" s="117">
        <v>0</v>
      </c>
      <c r="AS219" s="117">
        <v>0</v>
      </c>
      <c r="AT219" s="117">
        <v>0</v>
      </c>
      <c r="AU219" s="117">
        <v>0</v>
      </c>
      <c r="AV219" s="117">
        <v>0</v>
      </c>
      <c r="AW219" s="117">
        <v>0</v>
      </c>
      <c r="AX219" s="117">
        <v>0</v>
      </c>
      <c r="AY219" s="117">
        <v>0</v>
      </c>
      <c r="AZ219" s="117">
        <v>0</v>
      </c>
      <c r="BA219" s="117">
        <v>0</v>
      </c>
    </row>
    <row r="220" spans="1:53" s="138" customFormat="1" outlineLevel="2" x14ac:dyDescent="0.25">
      <c r="A220" s="138" t="s">
        <v>733</v>
      </c>
      <c r="B220" s="139" t="s">
        <v>734</v>
      </c>
      <c r="C220" s="140" t="s">
        <v>735</v>
      </c>
      <c r="D220" s="141"/>
      <c r="E220" s="142"/>
      <c r="F220" s="143">
        <v>1255168.3799999999</v>
      </c>
      <c r="G220" s="143">
        <v>1021555.3050000001</v>
      </c>
      <c r="H220" s="144">
        <f t="shared" si="42"/>
        <v>233613.07499999984</v>
      </c>
      <c r="I220" s="145">
        <f t="shared" si="43"/>
        <v>0.22868372750509069</v>
      </c>
      <c r="J220" s="146"/>
      <c r="K220" s="143">
        <v>2644819.08</v>
      </c>
      <c r="L220" s="143">
        <v>2120459.9049999998</v>
      </c>
      <c r="M220" s="144">
        <f t="shared" si="44"/>
        <v>524359.17500000028</v>
      </c>
      <c r="N220" s="145">
        <f t="shared" si="45"/>
        <v>0.24728558826487235</v>
      </c>
      <c r="O220" s="147"/>
      <c r="P220" s="146"/>
      <c r="Q220" s="143">
        <v>4432448.1100000003</v>
      </c>
      <c r="R220" s="143">
        <v>3182862.7450000001</v>
      </c>
      <c r="S220" s="144">
        <f t="shared" si="46"/>
        <v>1249585.3650000002</v>
      </c>
      <c r="T220" s="145">
        <f t="shared" si="47"/>
        <v>0.39259794251668245</v>
      </c>
      <c r="U220" s="146"/>
      <c r="V220" s="143">
        <v>17190975.920000002</v>
      </c>
      <c r="W220" s="143">
        <v>11602570.244999999</v>
      </c>
      <c r="X220" s="144">
        <f t="shared" si="48"/>
        <v>5588405.6750000026</v>
      </c>
      <c r="Y220" s="145">
        <f t="shared" si="49"/>
        <v>0.48165238882378369</v>
      </c>
      <c r="Z220" s="148"/>
      <c r="AA220" s="149">
        <v>1062402.8400000001</v>
      </c>
      <c r="AB220" s="150"/>
      <c r="AC220" s="117">
        <v>1098904.6000000001</v>
      </c>
      <c r="AD220" s="117">
        <v>1021555.3050000001</v>
      </c>
      <c r="AE220" s="117">
        <v>1095570.77</v>
      </c>
      <c r="AF220" s="117">
        <v>1060229.78</v>
      </c>
      <c r="AG220" s="117">
        <v>1095570.77</v>
      </c>
      <c r="AH220" s="117">
        <v>1060229.78</v>
      </c>
      <c r="AI220" s="117">
        <v>1711468.81</v>
      </c>
      <c r="AJ220" s="117">
        <v>1711468.81</v>
      </c>
      <c r="AK220" s="117">
        <v>1656260.1400000001</v>
      </c>
      <c r="AL220" s="117">
        <v>1711468.81</v>
      </c>
      <c r="AM220" s="117">
        <v>1656260.1400000001</v>
      </c>
      <c r="AN220" s="117">
        <v>1787629.03</v>
      </c>
      <c r="AO220" s="150"/>
      <c r="AP220" s="117">
        <v>1389650.7</v>
      </c>
      <c r="AQ220" s="117">
        <v>1255168.3799999999</v>
      </c>
      <c r="AR220" s="117">
        <v>-1255168.3799999999</v>
      </c>
      <c r="AS220" s="117">
        <v>0</v>
      </c>
      <c r="AT220" s="117">
        <v>0</v>
      </c>
      <c r="AU220" s="117">
        <v>0</v>
      </c>
      <c r="AV220" s="117">
        <v>0</v>
      </c>
      <c r="AW220" s="117">
        <v>0</v>
      </c>
      <c r="AX220" s="117">
        <v>0</v>
      </c>
      <c r="AY220" s="117">
        <v>0</v>
      </c>
      <c r="AZ220" s="117">
        <v>0</v>
      </c>
      <c r="BA220" s="117">
        <v>0</v>
      </c>
    </row>
    <row r="221" spans="1:53" s="138" customFormat="1" outlineLevel="2" x14ac:dyDescent="0.25">
      <c r="A221" s="138" t="s">
        <v>736</v>
      </c>
      <c r="B221" s="139" t="s">
        <v>737</v>
      </c>
      <c r="C221" s="140" t="s">
        <v>738</v>
      </c>
      <c r="D221" s="141"/>
      <c r="E221" s="142"/>
      <c r="F221" s="143">
        <v>1030756.32</v>
      </c>
      <c r="G221" s="143">
        <v>235827.82</v>
      </c>
      <c r="H221" s="144">
        <f t="shared" si="42"/>
        <v>794928.5</v>
      </c>
      <c r="I221" s="145">
        <f t="shared" si="43"/>
        <v>3.3708003576507641</v>
      </c>
      <c r="J221" s="146"/>
      <c r="K221" s="143">
        <v>1339027.68</v>
      </c>
      <c r="L221" s="143">
        <v>465091.84000000003</v>
      </c>
      <c r="M221" s="144">
        <f t="shared" si="44"/>
        <v>873935.83999999985</v>
      </c>
      <c r="N221" s="145">
        <f t="shared" si="45"/>
        <v>1.8790607893701163</v>
      </c>
      <c r="O221" s="147"/>
      <c r="P221" s="146"/>
      <c r="Q221" s="143">
        <v>1684107.16</v>
      </c>
      <c r="R221" s="143">
        <v>689729.48</v>
      </c>
      <c r="S221" s="144">
        <f t="shared" si="46"/>
        <v>994377.67999999993</v>
      </c>
      <c r="T221" s="145">
        <f t="shared" si="47"/>
        <v>1.4416922994215065</v>
      </c>
      <c r="U221" s="146"/>
      <c r="V221" s="143">
        <v>4339688.24</v>
      </c>
      <c r="W221" s="143">
        <v>2092588.0400000003</v>
      </c>
      <c r="X221" s="144">
        <f t="shared" si="48"/>
        <v>2247100.2000000002</v>
      </c>
      <c r="Y221" s="145">
        <f t="shared" si="49"/>
        <v>1.0738378300202842</v>
      </c>
      <c r="Z221" s="148"/>
      <c r="AA221" s="149">
        <v>224637.64</v>
      </c>
      <c r="AB221" s="150"/>
      <c r="AC221" s="117">
        <v>229264.02000000002</v>
      </c>
      <c r="AD221" s="117">
        <v>235827.82</v>
      </c>
      <c r="AE221" s="117">
        <v>232545.92000000001</v>
      </c>
      <c r="AF221" s="117">
        <v>232545.92000000001</v>
      </c>
      <c r="AG221" s="117">
        <v>232545.92000000001</v>
      </c>
      <c r="AH221" s="117">
        <v>232545.92000000001</v>
      </c>
      <c r="AI221" s="117">
        <v>345079.47000000003</v>
      </c>
      <c r="AJ221" s="117">
        <v>345079.49</v>
      </c>
      <c r="AK221" s="117">
        <v>345079.48</v>
      </c>
      <c r="AL221" s="117">
        <v>345079.48</v>
      </c>
      <c r="AM221" s="117">
        <v>345079.48</v>
      </c>
      <c r="AN221" s="117">
        <v>345079.48</v>
      </c>
      <c r="AO221" s="150"/>
      <c r="AP221" s="117">
        <v>308271.35999999999</v>
      </c>
      <c r="AQ221" s="117">
        <v>1030756.32</v>
      </c>
      <c r="AR221" s="117">
        <v>-1030756.32</v>
      </c>
      <c r="AS221" s="117">
        <v>0</v>
      </c>
      <c r="AT221" s="117">
        <v>0</v>
      </c>
      <c r="AU221" s="117">
        <v>0</v>
      </c>
      <c r="AV221" s="117">
        <v>0</v>
      </c>
      <c r="AW221" s="117">
        <v>0</v>
      </c>
      <c r="AX221" s="117">
        <v>0</v>
      </c>
      <c r="AY221" s="117">
        <v>0</v>
      </c>
      <c r="AZ221" s="117">
        <v>0</v>
      </c>
      <c r="BA221" s="117">
        <v>0</v>
      </c>
    </row>
    <row r="222" spans="1:53" s="138" customFormat="1" outlineLevel="2" x14ac:dyDescent="0.25">
      <c r="A222" s="138" t="s">
        <v>739</v>
      </c>
      <c r="B222" s="139" t="s">
        <v>740</v>
      </c>
      <c r="C222" s="140" t="s">
        <v>741</v>
      </c>
      <c r="D222" s="141"/>
      <c r="E222" s="142"/>
      <c r="F222" s="143">
        <v>-362617.663</v>
      </c>
      <c r="G222" s="143">
        <v>-176188.68</v>
      </c>
      <c r="H222" s="144">
        <f t="shared" si="42"/>
        <v>-186428.98300000001</v>
      </c>
      <c r="I222" s="145">
        <f t="shared" si="43"/>
        <v>-1.058121231171038</v>
      </c>
      <c r="J222" s="146"/>
      <c r="K222" s="143">
        <v>-611303.49300000002</v>
      </c>
      <c r="L222" s="143">
        <v>-375531.69</v>
      </c>
      <c r="M222" s="144">
        <f t="shared" si="44"/>
        <v>-235771.80300000001</v>
      </c>
      <c r="N222" s="145">
        <f t="shared" si="45"/>
        <v>-0.62783463893553171</v>
      </c>
      <c r="O222" s="147"/>
      <c r="P222" s="146"/>
      <c r="Q222" s="143">
        <v>-880478.88300000003</v>
      </c>
      <c r="R222" s="143">
        <v>-576532.46</v>
      </c>
      <c r="S222" s="144">
        <f t="shared" si="46"/>
        <v>-303946.42300000007</v>
      </c>
      <c r="T222" s="145">
        <f t="shared" si="47"/>
        <v>-0.52719741573614098</v>
      </c>
      <c r="U222" s="146"/>
      <c r="V222" s="143">
        <v>24060.996999999974</v>
      </c>
      <c r="W222" s="143">
        <v>326289.52999999997</v>
      </c>
      <c r="X222" s="144">
        <f t="shared" si="48"/>
        <v>-302228.533</v>
      </c>
      <c r="Y222" s="145">
        <f t="shared" si="49"/>
        <v>-0.92625875246441414</v>
      </c>
      <c r="Z222" s="148"/>
      <c r="AA222" s="149">
        <v>-201000.77000000002</v>
      </c>
      <c r="AB222" s="150"/>
      <c r="AC222" s="117">
        <v>-199343.01</v>
      </c>
      <c r="AD222" s="117">
        <v>-176188.68</v>
      </c>
      <c r="AE222" s="117">
        <v>-204030.29</v>
      </c>
      <c r="AF222" s="117">
        <v>-215101.98</v>
      </c>
      <c r="AG222" s="117">
        <v>-206851.23</v>
      </c>
      <c r="AH222" s="117">
        <v>2788007.76</v>
      </c>
      <c r="AI222" s="117">
        <v>-252942.57</v>
      </c>
      <c r="AJ222" s="117">
        <v>-250956.72</v>
      </c>
      <c r="AK222" s="117">
        <v>-251172.16</v>
      </c>
      <c r="AL222" s="117">
        <v>-250557.6</v>
      </c>
      <c r="AM222" s="117">
        <v>-251855.33000000002</v>
      </c>
      <c r="AN222" s="117">
        <v>-269175.39</v>
      </c>
      <c r="AO222" s="150"/>
      <c r="AP222" s="117">
        <v>-248685.83000000002</v>
      </c>
      <c r="AQ222" s="117">
        <v>-362617.663</v>
      </c>
      <c r="AR222" s="117">
        <v>-886528.06700000004</v>
      </c>
      <c r="AS222" s="117">
        <v>0</v>
      </c>
      <c r="AT222" s="117">
        <v>0</v>
      </c>
      <c r="AU222" s="117">
        <v>0</v>
      </c>
      <c r="AV222" s="117">
        <v>0</v>
      </c>
      <c r="AW222" s="117">
        <v>0</v>
      </c>
      <c r="AX222" s="117">
        <v>0</v>
      </c>
      <c r="AY222" s="117">
        <v>0</v>
      </c>
      <c r="AZ222" s="117">
        <v>0</v>
      </c>
      <c r="BA222" s="117">
        <v>0</v>
      </c>
    </row>
    <row r="223" spans="1:53" s="138" customFormat="1" outlineLevel="2" x14ac:dyDescent="0.25">
      <c r="A223" s="138" t="s">
        <v>742</v>
      </c>
      <c r="B223" s="139" t="s">
        <v>743</v>
      </c>
      <c r="C223" s="140" t="s">
        <v>744</v>
      </c>
      <c r="D223" s="141"/>
      <c r="E223" s="142"/>
      <c r="F223" s="143">
        <v>125406.76000000001</v>
      </c>
      <c r="G223" s="143">
        <v>94266.58</v>
      </c>
      <c r="H223" s="144">
        <f t="shared" si="42"/>
        <v>31140.180000000008</v>
      </c>
      <c r="I223" s="145">
        <f t="shared" si="43"/>
        <v>0.33034167570309653</v>
      </c>
      <c r="J223" s="146"/>
      <c r="K223" s="143">
        <v>94606.7</v>
      </c>
      <c r="L223" s="143">
        <v>166127.25</v>
      </c>
      <c r="M223" s="144">
        <f t="shared" si="44"/>
        <v>-71520.55</v>
      </c>
      <c r="N223" s="145">
        <f t="shared" si="45"/>
        <v>-0.43051666719337134</v>
      </c>
      <c r="O223" s="147"/>
      <c r="P223" s="146"/>
      <c r="Q223" s="143">
        <v>328311.06</v>
      </c>
      <c r="R223" s="143">
        <v>295361.52</v>
      </c>
      <c r="S223" s="144">
        <f t="shared" si="46"/>
        <v>32949.539999999979</v>
      </c>
      <c r="T223" s="145">
        <f t="shared" si="47"/>
        <v>0.1115566442101191</v>
      </c>
      <c r="U223" s="146"/>
      <c r="V223" s="143">
        <v>1413204.2</v>
      </c>
      <c r="W223" s="143">
        <v>1206787.6299999999</v>
      </c>
      <c r="X223" s="144">
        <f t="shared" si="48"/>
        <v>206416.57000000007</v>
      </c>
      <c r="Y223" s="145">
        <f t="shared" si="49"/>
        <v>0.17104630911737145</v>
      </c>
      <c r="Z223" s="148"/>
      <c r="AA223" s="149">
        <v>129234.27</v>
      </c>
      <c r="AB223" s="150"/>
      <c r="AC223" s="117">
        <v>71860.67</v>
      </c>
      <c r="AD223" s="117">
        <v>94266.58</v>
      </c>
      <c r="AE223" s="117">
        <v>86770.36</v>
      </c>
      <c r="AF223" s="117">
        <v>103362.17</v>
      </c>
      <c r="AG223" s="117">
        <v>78717.66</v>
      </c>
      <c r="AH223" s="117">
        <v>321243.40000000002</v>
      </c>
      <c r="AI223" s="117">
        <v>72792.37</v>
      </c>
      <c r="AJ223" s="117">
        <v>81374.61</v>
      </c>
      <c r="AK223" s="117">
        <v>118163.42</v>
      </c>
      <c r="AL223" s="117">
        <v>145627.78</v>
      </c>
      <c r="AM223" s="117">
        <v>76841.37</v>
      </c>
      <c r="AN223" s="117">
        <v>233704.36000000002</v>
      </c>
      <c r="AO223" s="150"/>
      <c r="AP223" s="117">
        <v>-30800.06</v>
      </c>
      <c r="AQ223" s="117">
        <v>125406.76000000001</v>
      </c>
      <c r="AR223" s="117">
        <v>514.58000000000004</v>
      </c>
      <c r="AS223" s="117">
        <v>0</v>
      </c>
      <c r="AT223" s="117">
        <v>0</v>
      </c>
      <c r="AU223" s="117">
        <v>0</v>
      </c>
      <c r="AV223" s="117">
        <v>0</v>
      </c>
      <c r="AW223" s="117">
        <v>0</v>
      </c>
      <c r="AX223" s="117">
        <v>0</v>
      </c>
      <c r="AY223" s="117">
        <v>0</v>
      </c>
      <c r="AZ223" s="117">
        <v>0</v>
      </c>
      <c r="BA223" s="117">
        <v>0</v>
      </c>
    </row>
    <row r="224" spans="1:53" s="138" customFormat="1" outlineLevel="2" x14ac:dyDescent="0.25">
      <c r="A224" s="138" t="s">
        <v>745</v>
      </c>
      <c r="B224" s="139" t="s">
        <v>746</v>
      </c>
      <c r="C224" s="140" t="s">
        <v>747</v>
      </c>
      <c r="D224" s="141"/>
      <c r="E224" s="142"/>
      <c r="F224" s="143">
        <v>0</v>
      </c>
      <c r="G224" s="143">
        <v>9.86</v>
      </c>
      <c r="H224" s="144">
        <f t="shared" si="42"/>
        <v>-9.86</v>
      </c>
      <c r="I224" s="145" t="str">
        <f t="shared" si="43"/>
        <v>N.M.</v>
      </c>
      <c r="J224" s="146"/>
      <c r="K224" s="143">
        <v>0</v>
      </c>
      <c r="L224" s="143">
        <v>9.86</v>
      </c>
      <c r="M224" s="144">
        <f t="shared" si="44"/>
        <v>-9.86</v>
      </c>
      <c r="N224" s="145" t="str">
        <f t="shared" si="45"/>
        <v>N.M.</v>
      </c>
      <c r="O224" s="147"/>
      <c r="P224" s="146"/>
      <c r="Q224" s="143">
        <v>0</v>
      </c>
      <c r="R224" s="143">
        <v>9.86</v>
      </c>
      <c r="S224" s="144">
        <f t="shared" si="46"/>
        <v>-9.86</v>
      </c>
      <c r="T224" s="145" t="str">
        <f t="shared" si="47"/>
        <v>N.M.</v>
      </c>
      <c r="U224" s="146"/>
      <c r="V224" s="143">
        <v>0</v>
      </c>
      <c r="W224" s="143">
        <v>9.86</v>
      </c>
      <c r="X224" s="144">
        <f t="shared" si="48"/>
        <v>-9.86</v>
      </c>
      <c r="Y224" s="145" t="str">
        <f t="shared" si="49"/>
        <v>N.M.</v>
      </c>
      <c r="Z224" s="148"/>
      <c r="AA224" s="149">
        <v>0</v>
      </c>
      <c r="AB224" s="150"/>
      <c r="AC224" s="117">
        <v>0</v>
      </c>
      <c r="AD224" s="117">
        <v>9.86</v>
      </c>
      <c r="AE224" s="117">
        <v>0</v>
      </c>
      <c r="AF224" s="117">
        <v>0</v>
      </c>
      <c r="AG224" s="117">
        <v>0</v>
      </c>
      <c r="AH224" s="117">
        <v>0</v>
      </c>
      <c r="AI224" s="117">
        <v>0</v>
      </c>
      <c r="AJ224" s="117">
        <v>0</v>
      </c>
      <c r="AK224" s="117">
        <v>0</v>
      </c>
      <c r="AL224" s="117">
        <v>0</v>
      </c>
      <c r="AM224" s="117">
        <v>0</v>
      </c>
      <c r="AN224" s="117">
        <v>0</v>
      </c>
      <c r="AO224" s="150"/>
      <c r="AP224" s="117">
        <v>0</v>
      </c>
      <c r="AQ224" s="117">
        <v>0</v>
      </c>
      <c r="AR224" s="117">
        <v>0</v>
      </c>
      <c r="AS224" s="117">
        <v>0</v>
      </c>
      <c r="AT224" s="117">
        <v>0</v>
      </c>
      <c r="AU224" s="117">
        <v>0</v>
      </c>
      <c r="AV224" s="117">
        <v>0</v>
      </c>
      <c r="AW224" s="117">
        <v>0</v>
      </c>
      <c r="AX224" s="117">
        <v>0</v>
      </c>
      <c r="AY224" s="117">
        <v>0</v>
      </c>
      <c r="AZ224" s="117">
        <v>0</v>
      </c>
      <c r="BA224" s="117">
        <v>0</v>
      </c>
    </row>
    <row r="225" spans="1:53" s="138" customFormat="1" outlineLevel="2" x14ac:dyDescent="0.25">
      <c r="A225" s="138" t="s">
        <v>748</v>
      </c>
      <c r="B225" s="139" t="s">
        <v>749</v>
      </c>
      <c r="C225" s="140" t="s">
        <v>750</v>
      </c>
      <c r="D225" s="141"/>
      <c r="E225" s="142"/>
      <c r="F225" s="143">
        <v>0</v>
      </c>
      <c r="G225" s="143">
        <v>0</v>
      </c>
      <c r="H225" s="144">
        <f t="shared" si="42"/>
        <v>0</v>
      </c>
      <c r="I225" s="145">
        <f t="shared" si="43"/>
        <v>0</v>
      </c>
      <c r="J225" s="146"/>
      <c r="K225" s="143">
        <v>0</v>
      </c>
      <c r="L225" s="143">
        <v>0</v>
      </c>
      <c r="M225" s="144">
        <f t="shared" si="44"/>
        <v>0</v>
      </c>
      <c r="N225" s="145">
        <f t="shared" si="45"/>
        <v>0</v>
      </c>
      <c r="O225" s="147"/>
      <c r="P225" s="146"/>
      <c r="Q225" s="143">
        <v>0</v>
      </c>
      <c r="R225" s="143">
        <v>0</v>
      </c>
      <c r="S225" s="144">
        <f t="shared" si="46"/>
        <v>0</v>
      </c>
      <c r="T225" s="145">
        <f t="shared" si="47"/>
        <v>0</v>
      </c>
      <c r="U225" s="146"/>
      <c r="V225" s="143">
        <v>0.66</v>
      </c>
      <c r="W225" s="143">
        <v>0</v>
      </c>
      <c r="X225" s="144">
        <f t="shared" si="48"/>
        <v>0.66</v>
      </c>
      <c r="Y225" s="145" t="str">
        <f t="shared" si="49"/>
        <v>N.M.</v>
      </c>
      <c r="Z225" s="148"/>
      <c r="AA225" s="149">
        <v>0</v>
      </c>
      <c r="AB225" s="150"/>
      <c r="AC225" s="117">
        <v>0</v>
      </c>
      <c r="AD225" s="117">
        <v>0</v>
      </c>
      <c r="AE225" s="117">
        <v>0</v>
      </c>
      <c r="AF225" s="117">
        <v>0</v>
      </c>
      <c r="AG225" s="117">
        <v>0</v>
      </c>
      <c r="AH225" s="117">
        <v>0</v>
      </c>
      <c r="AI225" s="117">
        <v>0.66</v>
      </c>
      <c r="AJ225" s="117">
        <v>0</v>
      </c>
      <c r="AK225" s="117">
        <v>0</v>
      </c>
      <c r="AL225" s="117">
        <v>0</v>
      </c>
      <c r="AM225" s="117">
        <v>0</v>
      </c>
      <c r="AN225" s="117">
        <v>0</v>
      </c>
      <c r="AO225" s="150"/>
      <c r="AP225" s="117">
        <v>0</v>
      </c>
      <c r="AQ225" s="117">
        <v>0</v>
      </c>
      <c r="AR225" s="117">
        <v>0</v>
      </c>
      <c r="AS225" s="117">
        <v>0</v>
      </c>
      <c r="AT225" s="117">
        <v>0</v>
      </c>
      <c r="AU225" s="117">
        <v>0</v>
      </c>
      <c r="AV225" s="117">
        <v>0</v>
      </c>
      <c r="AW225" s="117">
        <v>0</v>
      </c>
      <c r="AX225" s="117">
        <v>0</v>
      </c>
      <c r="AY225" s="117">
        <v>0</v>
      </c>
      <c r="AZ225" s="117">
        <v>0</v>
      </c>
      <c r="BA225" s="117">
        <v>0</v>
      </c>
    </row>
    <row r="226" spans="1:53" s="138" customFormat="1" outlineLevel="2" x14ac:dyDescent="0.25">
      <c r="A226" s="138" t="s">
        <v>751</v>
      </c>
      <c r="B226" s="139" t="s">
        <v>752</v>
      </c>
      <c r="C226" s="140" t="s">
        <v>753</v>
      </c>
      <c r="D226" s="141"/>
      <c r="E226" s="142"/>
      <c r="F226" s="143">
        <v>0</v>
      </c>
      <c r="G226" s="143">
        <v>4.82</v>
      </c>
      <c r="H226" s="144">
        <f t="shared" si="42"/>
        <v>-4.82</v>
      </c>
      <c r="I226" s="145" t="str">
        <f t="shared" si="43"/>
        <v>N.M.</v>
      </c>
      <c r="J226" s="146"/>
      <c r="K226" s="143">
        <v>0</v>
      </c>
      <c r="L226" s="143">
        <v>4.82</v>
      </c>
      <c r="M226" s="144">
        <f t="shared" si="44"/>
        <v>-4.82</v>
      </c>
      <c r="N226" s="145" t="str">
        <f t="shared" si="45"/>
        <v>N.M.</v>
      </c>
      <c r="O226" s="147"/>
      <c r="P226" s="146"/>
      <c r="Q226" s="143">
        <v>0</v>
      </c>
      <c r="R226" s="143">
        <v>4.82</v>
      </c>
      <c r="S226" s="144">
        <f t="shared" si="46"/>
        <v>-4.82</v>
      </c>
      <c r="T226" s="145" t="str">
        <f t="shared" si="47"/>
        <v>N.M.</v>
      </c>
      <c r="U226" s="146"/>
      <c r="V226" s="143">
        <v>-4.82</v>
      </c>
      <c r="W226" s="143">
        <v>4.82</v>
      </c>
      <c r="X226" s="144">
        <f t="shared" si="48"/>
        <v>-9.64</v>
      </c>
      <c r="Y226" s="145">
        <f t="shared" si="49"/>
        <v>-2</v>
      </c>
      <c r="Z226" s="148"/>
      <c r="AA226" s="149">
        <v>0</v>
      </c>
      <c r="AB226" s="150"/>
      <c r="AC226" s="117">
        <v>0</v>
      </c>
      <c r="AD226" s="117">
        <v>4.82</v>
      </c>
      <c r="AE226" s="117">
        <v>-4.82</v>
      </c>
      <c r="AF226" s="117">
        <v>0</v>
      </c>
      <c r="AG226" s="117">
        <v>0</v>
      </c>
      <c r="AH226" s="117">
        <v>0</v>
      </c>
      <c r="AI226" s="117">
        <v>0</v>
      </c>
      <c r="AJ226" s="117">
        <v>0</v>
      </c>
      <c r="AK226" s="117">
        <v>0</v>
      </c>
      <c r="AL226" s="117">
        <v>0</v>
      </c>
      <c r="AM226" s="117">
        <v>0</v>
      </c>
      <c r="AN226" s="117">
        <v>0</v>
      </c>
      <c r="AO226" s="150"/>
      <c r="AP226" s="117">
        <v>0</v>
      </c>
      <c r="AQ226" s="117">
        <v>0</v>
      </c>
      <c r="AR226" s="117">
        <v>0</v>
      </c>
      <c r="AS226" s="117">
        <v>0</v>
      </c>
      <c r="AT226" s="117">
        <v>0</v>
      </c>
      <c r="AU226" s="117">
        <v>0</v>
      </c>
      <c r="AV226" s="117">
        <v>0</v>
      </c>
      <c r="AW226" s="117">
        <v>0</v>
      </c>
      <c r="AX226" s="117">
        <v>0</v>
      </c>
      <c r="AY226" s="117">
        <v>0</v>
      </c>
      <c r="AZ226" s="117">
        <v>0</v>
      </c>
      <c r="BA226" s="117">
        <v>0</v>
      </c>
    </row>
    <row r="227" spans="1:53" s="138" customFormat="1" outlineLevel="2" x14ac:dyDescent="0.25">
      <c r="A227" s="138" t="s">
        <v>754</v>
      </c>
      <c r="B227" s="139" t="s">
        <v>755</v>
      </c>
      <c r="C227" s="140" t="s">
        <v>756</v>
      </c>
      <c r="D227" s="141"/>
      <c r="E227" s="142"/>
      <c r="F227" s="143">
        <v>0</v>
      </c>
      <c r="G227" s="143">
        <v>0</v>
      </c>
      <c r="H227" s="144">
        <f t="shared" si="42"/>
        <v>0</v>
      </c>
      <c r="I227" s="145">
        <f t="shared" si="43"/>
        <v>0</v>
      </c>
      <c r="J227" s="146"/>
      <c r="K227" s="143">
        <v>-127619</v>
      </c>
      <c r="L227" s="143">
        <v>0</v>
      </c>
      <c r="M227" s="144">
        <f t="shared" si="44"/>
        <v>-127619</v>
      </c>
      <c r="N227" s="145" t="str">
        <f t="shared" si="45"/>
        <v>N.M.</v>
      </c>
      <c r="O227" s="147"/>
      <c r="P227" s="146"/>
      <c r="Q227" s="143">
        <v>42540</v>
      </c>
      <c r="R227" s="143">
        <v>0</v>
      </c>
      <c r="S227" s="144">
        <f t="shared" si="46"/>
        <v>42540</v>
      </c>
      <c r="T227" s="145" t="str">
        <f t="shared" si="47"/>
        <v>N.M.</v>
      </c>
      <c r="U227" s="146"/>
      <c r="V227" s="143">
        <v>42540</v>
      </c>
      <c r="W227" s="143">
        <v>0</v>
      </c>
      <c r="X227" s="144">
        <f t="shared" si="48"/>
        <v>42540</v>
      </c>
      <c r="Y227" s="145" t="str">
        <f t="shared" si="49"/>
        <v>N.M.</v>
      </c>
      <c r="Z227" s="148"/>
      <c r="AA227" s="149">
        <v>0</v>
      </c>
      <c r="AB227" s="150"/>
      <c r="AC227" s="117">
        <v>0</v>
      </c>
      <c r="AD227" s="117">
        <v>0</v>
      </c>
      <c r="AE227" s="117">
        <v>0</v>
      </c>
      <c r="AF227" s="117">
        <v>0</v>
      </c>
      <c r="AG227" s="117">
        <v>0</v>
      </c>
      <c r="AH227" s="117">
        <v>0</v>
      </c>
      <c r="AI227" s="117">
        <v>0</v>
      </c>
      <c r="AJ227" s="117">
        <v>0</v>
      </c>
      <c r="AK227" s="117">
        <v>0</v>
      </c>
      <c r="AL227" s="117">
        <v>0</v>
      </c>
      <c r="AM227" s="117">
        <v>0</v>
      </c>
      <c r="AN227" s="117">
        <v>170159</v>
      </c>
      <c r="AO227" s="150"/>
      <c r="AP227" s="117">
        <v>-127619</v>
      </c>
      <c r="AQ227" s="117">
        <v>0</v>
      </c>
      <c r="AR227" s="117">
        <v>79379.839999999997</v>
      </c>
      <c r="AS227" s="117">
        <v>0</v>
      </c>
      <c r="AT227" s="117">
        <v>0</v>
      </c>
      <c r="AU227" s="117">
        <v>0</v>
      </c>
      <c r="AV227" s="117">
        <v>0</v>
      </c>
      <c r="AW227" s="117">
        <v>0</v>
      </c>
      <c r="AX227" s="117">
        <v>0</v>
      </c>
      <c r="AY227" s="117">
        <v>0</v>
      </c>
      <c r="AZ227" s="117">
        <v>0</v>
      </c>
      <c r="BA227" s="117">
        <v>0</v>
      </c>
    </row>
    <row r="228" spans="1:53" s="211" customFormat="1" outlineLevel="1" x14ac:dyDescent="0.25">
      <c r="A228" s="211" t="s">
        <v>757</v>
      </c>
      <c r="B228" s="212"/>
      <c r="C228" s="213" t="s">
        <v>758</v>
      </c>
      <c r="D228" s="229"/>
      <c r="E228" s="229"/>
      <c r="F228" s="215">
        <v>2865264.1669999994</v>
      </c>
      <c r="G228" s="215">
        <v>2000001.8850000002</v>
      </c>
      <c r="H228" s="236">
        <f t="shared" si="42"/>
        <v>865262.28199999919</v>
      </c>
      <c r="I228" s="237">
        <f t="shared" si="43"/>
        <v>0.43263073324553347</v>
      </c>
      <c r="J228" s="231"/>
      <c r="K228" s="215">
        <v>4933708.4570000004</v>
      </c>
      <c r="L228" s="215">
        <v>4030638.0349999997</v>
      </c>
      <c r="M228" s="236">
        <f t="shared" si="44"/>
        <v>903070.42200000072</v>
      </c>
      <c r="N228" s="232">
        <f t="shared" si="45"/>
        <v>0.22405148121915164</v>
      </c>
      <c r="O228" s="233"/>
      <c r="P228" s="233"/>
      <c r="Q228" s="215">
        <v>8092478.1170000006</v>
      </c>
      <c r="R228" s="215">
        <v>6115091.2750000004</v>
      </c>
      <c r="S228" s="236">
        <f t="shared" si="46"/>
        <v>1977386.8420000002</v>
      </c>
      <c r="T228" s="237">
        <f t="shared" si="47"/>
        <v>0.32336178694241979</v>
      </c>
      <c r="U228" s="233"/>
      <c r="V228" s="215">
        <v>32770996.517000001</v>
      </c>
      <c r="W228" s="215">
        <v>25240060.934</v>
      </c>
      <c r="X228" s="236">
        <f t="shared" si="48"/>
        <v>7530935.5830000006</v>
      </c>
      <c r="Y228" s="232">
        <f t="shared" si="49"/>
        <v>0.2983723217900533</v>
      </c>
      <c r="AA228" s="215">
        <v>2084453.2400000002</v>
      </c>
      <c r="AB228" s="235"/>
      <c r="AC228" s="215">
        <v>2030636.1500000001</v>
      </c>
      <c r="AD228" s="215">
        <v>2000001.8850000002</v>
      </c>
      <c r="AE228" s="215">
        <v>2034548.81</v>
      </c>
      <c r="AF228" s="215">
        <v>2002051.02</v>
      </c>
      <c r="AG228" s="215">
        <v>2030476.9000000001</v>
      </c>
      <c r="AH228" s="215">
        <v>5196838.2300000004</v>
      </c>
      <c r="AI228" s="215">
        <v>2670794.6400000006</v>
      </c>
      <c r="AJ228" s="215">
        <v>2705593.8899999997</v>
      </c>
      <c r="AK228" s="215">
        <v>2663700.2399999998</v>
      </c>
      <c r="AL228" s="215">
        <v>2736227.0399999996</v>
      </c>
      <c r="AM228" s="215">
        <v>2638287.6300000004</v>
      </c>
      <c r="AN228" s="215">
        <v>3158769.6599999997</v>
      </c>
      <c r="AO228" s="235"/>
      <c r="AP228" s="215">
        <v>2068444.29</v>
      </c>
      <c r="AQ228" s="215">
        <v>2865264.1669999994</v>
      </c>
      <c r="AR228" s="215">
        <v>2095640.4630000009</v>
      </c>
      <c r="AS228" s="215">
        <v>0</v>
      </c>
      <c r="AT228" s="215">
        <v>0</v>
      </c>
      <c r="AU228" s="215">
        <v>0</v>
      </c>
      <c r="AV228" s="215">
        <v>0</v>
      </c>
      <c r="AW228" s="215">
        <v>0</v>
      </c>
      <c r="AX228" s="215">
        <v>0</v>
      </c>
      <c r="AY228" s="215">
        <v>0</v>
      </c>
      <c r="AZ228" s="215">
        <v>0</v>
      </c>
      <c r="BA228" s="215">
        <v>0</v>
      </c>
    </row>
    <row r="229" spans="1:53" s="211" customFormat="1" ht="0.75" customHeight="1" outlineLevel="2" x14ac:dyDescent="0.25">
      <c r="B229" s="212"/>
      <c r="C229" s="213"/>
      <c r="D229" s="229"/>
      <c r="E229" s="229"/>
      <c r="F229" s="215"/>
      <c r="G229" s="215"/>
      <c r="H229" s="236"/>
      <c r="I229" s="237"/>
      <c r="J229" s="231"/>
      <c r="K229" s="215"/>
      <c r="L229" s="215"/>
      <c r="M229" s="236"/>
      <c r="N229" s="232"/>
      <c r="O229" s="233"/>
      <c r="P229" s="233"/>
      <c r="Q229" s="215"/>
      <c r="R229" s="215"/>
      <c r="S229" s="236"/>
      <c r="T229" s="237"/>
      <c r="U229" s="233"/>
      <c r="V229" s="215"/>
      <c r="W229" s="215"/>
      <c r="X229" s="236"/>
      <c r="Y229" s="232"/>
      <c r="AA229" s="215"/>
      <c r="AB229" s="235"/>
      <c r="AC229" s="215"/>
      <c r="AD229" s="215"/>
      <c r="AE229" s="215"/>
      <c r="AF229" s="215"/>
      <c r="AG229" s="215"/>
      <c r="AH229" s="215"/>
      <c r="AI229" s="215"/>
      <c r="AJ229" s="215"/>
      <c r="AK229" s="215"/>
      <c r="AL229" s="215"/>
      <c r="AM229" s="215"/>
      <c r="AN229" s="215"/>
      <c r="AO229" s="23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</row>
    <row r="230" spans="1:53" s="138" customFormat="1" outlineLevel="2" x14ac:dyDescent="0.25">
      <c r="A230" s="138" t="s">
        <v>759</v>
      </c>
      <c r="B230" s="139" t="s">
        <v>760</v>
      </c>
      <c r="C230" s="140" t="s">
        <v>761</v>
      </c>
      <c r="D230" s="141"/>
      <c r="E230" s="142"/>
      <c r="F230" s="143">
        <v>4223.46</v>
      </c>
      <c r="G230" s="143">
        <v>4483.84</v>
      </c>
      <c r="H230" s="144">
        <f>+F230-G230</f>
        <v>-260.38000000000011</v>
      </c>
      <c r="I230" s="145">
        <f>IF(G230&lt;0,IF(H230=0,0,IF(OR(G230=0,F230=0),"N.M.",IF(ABS(H230/G230)&gt;=10,"N.M.",H230/(-G230)))),IF(H230=0,0,IF(OR(G230=0,F230=0),"N.M.",IF(ABS(H230/G230)&gt;=10,"N.M.",H230/G230))))</f>
        <v>-5.8070760776477326E-2</v>
      </c>
      <c r="J230" s="146"/>
      <c r="K230" s="143">
        <v>11211.47</v>
      </c>
      <c r="L230" s="143">
        <v>6753.38</v>
      </c>
      <c r="M230" s="144">
        <f>+K230-L230</f>
        <v>4458.0899999999992</v>
      </c>
      <c r="N230" s="145">
        <f>IF(L230&lt;0,IF(M230=0,0,IF(OR(L230=0,K230=0),"N.M.",IF(ABS(M230/L230)&gt;=10,"N.M.",M230/(-L230)))),IF(M230=0,0,IF(OR(L230=0,K230=0),"N.M.",IF(ABS(M230/L230)&gt;=10,"N.M.",M230/L230))))</f>
        <v>0.66012722518205691</v>
      </c>
      <c r="O230" s="147"/>
      <c r="P230" s="146"/>
      <c r="Q230" s="143">
        <v>29391.940000000002</v>
      </c>
      <c r="R230" s="143">
        <v>9691.76</v>
      </c>
      <c r="S230" s="144">
        <f>+Q230-R230</f>
        <v>19700.18</v>
      </c>
      <c r="T230" s="145">
        <f>IF(R230&lt;0,IF(S230=0,0,IF(OR(R230=0,Q230=0),"N.M.",IF(ABS(S230/R230)&gt;=10,"N.M.",S230/(-R230)))),IF(S230=0,0,IF(OR(R230=0,Q230=0),"N.M.",IF(ABS(S230/R230)&gt;=10,"N.M.",S230/R230))))</f>
        <v>2.0326731161316416</v>
      </c>
      <c r="U230" s="146"/>
      <c r="V230" s="143">
        <v>153798.86000000002</v>
      </c>
      <c r="W230" s="143">
        <v>86955.55</v>
      </c>
      <c r="X230" s="144">
        <f>+V230-W230</f>
        <v>66843.310000000012</v>
      </c>
      <c r="Y230" s="145">
        <f>IF(W230&lt;0,IF(X230=0,0,IF(OR(W230=0,V230=0),"N.M.",IF(ABS(X230/W230)&gt;=10,"N.M.",X230/(-W230)))),IF(X230=0,0,IF(OR(W230=0,V230=0),"N.M.",IF(ABS(X230/W230)&gt;=10,"N.M.",X230/W230))))</f>
        <v>0.7687066552968731</v>
      </c>
      <c r="Z230" s="148"/>
      <c r="AA230" s="149">
        <v>2938.38</v>
      </c>
      <c r="AB230" s="150"/>
      <c r="AC230" s="117">
        <v>2269.54</v>
      </c>
      <c r="AD230" s="117">
        <v>4483.84</v>
      </c>
      <c r="AE230" s="117">
        <v>4702.96</v>
      </c>
      <c r="AF230" s="117">
        <v>3395.87</v>
      </c>
      <c r="AG230" s="117">
        <v>5751.08</v>
      </c>
      <c r="AH230" s="117">
        <v>17133.900000000001</v>
      </c>
      <c r="AI230" s="117">
        <v>25412.5</v>
      </c>
      <c r="AJ230" s="117">
        <v>25483.510000000002</v>
      </c>
      <c r="AK230" s="117">
        <v>5804.09</v>
      </c>
      <c r="AL230" s="117">
        <v>7440.66</v>
      </c>
      <c r="AM230" s="117">
        <v>29282.350000000002</v>
      </c>
      <c r="AN230" s="117">
        <v>18180.47</v>
      </c>
      <c r="AO230" s="150"/>
      <c r="AP230" s="117">
        <v>6988.01</v>
      </c>
      <c r="AQ230" s="117">
        <v>4223.46</v>
      </c>
      <c r="AR230" s="117">
        <v>-152.24</v>
      </c>
      <c r="AS230" s="117">
        <v>0</v>
      </c>
      <c r="AT230" s="117">
        <v>0</v>
      </c>
      <c r="AU230" s="117">
        <v>0</v>
      </c>
      <c r="AV230" s="117">
        <v>0</v>
      </c>
      <c r="AW230" s="117">
        <v>0</v>
      </c>
      <c r="AX230" s="117">
        <v>0</v>
      </c>
      <c r="AY230" s="117">
        <v>0</v>
      </c>
      <c r="AZ230" s="117">
        <v>0</v>
      </c>
      <c r="BA230" s="117">
        <v>0</v>
      </c>
    </row>
    <row r="231" spans="1:53" s="138" customFormat="1" outlineLevel="2" x14ac:dyDescent="0.25">
      <c r="A231" s="138" t="s">
        <v>762</v>
      </c>
      <c r="B231" s="139" t="s">
        <v>763</v>
      </c>
      <c r="C231" s="140" t="s">
        <v>764</v>
      </c>
      <c r="D231" s="141"/>
      <c r="E231" s="142"/>
      <c r="F231" s="143">
        <v>88151.1</v>
      </c>
      <c r="G231" s="143">
        <v>90893.08</v>
      </c>
      <c r="H231" s="144">
        <f>+F231-G231</f>
        <v>-2741.9799999999959</v>
      </c>
      <c r="I231" s="145">
        <f>IF(G231&lt;0,IF(H231=0,0,IF(OR(G231=0,F231=0),"N.M.",IF(ABS(H231/G231)&gt;=10,"N.M.",H231/(-G231)))),IF(H231=0,0,IF(OR(G231=0,F231=0),"N.M.",IF(ABS(H231/G231)&gt;=10,"N.M.",H231/G231))))</f>
        <v>-3.016709302842412E-2</v>
      </c>
      <c r="J231" s="146"/>
      <c r="K231" s="143">
        <v>183673.7</v>
      </c>
      <c r="L231" s="143">
        <v>177480.21</v>
      </c>
      <c r="M231" s="144">
        <f>+K231-L231</f>
        <v>6193.4900000000198</v>
      </c>
      <c r="N231" s="145">
        <f>IF(L231&lt;0,IF(M231=0,0,IF(OR(L231=0,K231=0),"N.M.",IF(ABS(M231/L231)&gt;=10,"N.M.",M231/(-L231)))),IF(M231=0,0,IF(OR(L231=0,K231=0),"N.M.",IF(ABS(M231/L231)&gt;=10,"N.M.",M231/L231))))</f>
        <v>3.4896792155024045E-2</v>
      </c>
      <c r="O231" s="147"/>
      <c r="P231" s="146"/>
      <c r="Q231" s="143">
        <v>258170.76</v>
      </c>
      <c r="R231" s="143">
        <v>250150.45</v>
      </c>
      <c r="S231" s="144">
        <f>+Q231-R231</f>
        <v>8020.3099999999977</v>
      </c>
      <c r="T231" s="145">
        <f>IF(R231&lt;0,IF(S231=0,0,IF(OR(R231=0,Q231=0),"N.M.",IF(ABS(S231/R231)&gt;=10,"N.M.",S231/(-R231)))),IF(S231=0,0,IF(OR(R231=0,Q231=0),"N.M.",IF(ABS(S231/R231)&gt;=10,"N.M.",S231/R231))))</f>
        <v>3.2061945121425912E-2</v>
      </c>
      <c r="U231" s="146"/>
      <c r="V231" s="143">
        <v>853571.17999999993</v>
      </c>
      <c r="W231" s="143">
        <v>858954.09</v>
      </c>
      <c r="X231" s="144">
        <f>+V231-W231</f>
        <v>-5382.9100000000326</v>
      </c>
      <c r="Y231" s="145">
        <f>IF(W231&lt;0,IF(X231=0,0,IF(OR(W231=0,V231=0),"N.M.",IF(ABS(X231/W231)&gt;=10,"N.M.",X231/(-W231)))),IF(X231=0,0,IF(OR(W231=0,V231=0),"N.M.",IF(ABS(X231/W231)&gt;=10,"N.M.",X231/W231))))</f>
        <v>-6.2668192196395885E-3</v>
      </c>
      <c r="Z231" s="148"/>
      <c r="AA231" s="149">
        <v>72670.240000000005</v>
      </c>
      <c r="AB231" s="150"/>
      <c r="AC231" s="117">
        <v>86587.13</v>
      </c>
      <c r="AD231" s="117">
        <v>90893.08</v>
      </c>
      <c r="AE231" s="117">
        <v>75589.58</v>
      </c>
      <c r="AF231" s="117">
        <v>66986.02</v>
      </c>
      <c r="AG231" s="117">
        <v>56858.130000000005</v>
      </c>
      <c r="AH231" s="117">
        <v>70214.290000000008</v>
      </c>
      <c r="AI231" s="117">
        <v>65386.060000000005</v>
      </c>
      <c r="AJ231" s="117">
        <v>77897.34</v>
      </c>
      <c r="AK231" s="117">
        <v>67858.45</v>
      </c>
      <c r="AL231" s="117">
        <v>54164.46</v>
      </c>
      <c r="AM231" s="117">
        <v>60446.090000000004</v>
      </c>
      <c r="AN231" s="117">
        <v>74497.06</v>
      </c>
      <c r="AO231" s="150"/>
      <c r="AP231" s="117">
        <v>95522.6</v>
      </c>
      <c r="AQ231" s="117">
        <v>88151.1</v>
      </c>
      <c r="AR231" s="117">
        <v>-7032.37</v>
      </c>
      <c r="AS231" s="117">
        <v>0</v>
      </c>
      <c r="AT231" s="117">
        <v>0</v>
      </c>
      <c r="AU231" s="117">
        <v>0</v>
      </c>
      <c r="AV231" s="117">
        <v>0</v>
      </c>
      <c r="AW231" s="117">
        <v>0</v>
      </c>
      <c r="AX231" s="117">
        <v>0</v>
      </c>
      <c r="AY231" s="117">
        <v>0</v>
      </c>
      <c r="AZ231" s="117">
        <v>0</v>
      </c>
      <c r="BA231" s="117">
        <v>0</v>
      </c>
    </row>
    <row r="232" spans="1:53" s="211" customFormat="1" outlineLevel="1" x14ac:dyDescent="0.25">
      <c r="A232" s="211" t="s">
        <v>765</v>
      </c>
      <c r="B232" s="212"/>
      <c r="C232" s="213" t="s">
        <v>766</v>
      </c>
      <c r="D232" s="229"/>
      <c r="E232" s="229"/>
      <c r="F232" s="215">
        <v>92374.560000000012</v>
      </c>
      <c r="G232" s="215">
        <v>95376.92</v>
      </c>
      <c r="H232" s="236">
        <f>+F232-G232</f>
        <v>-3002.359999999986</v>
      </c>
      <c r="I232" s="237">
        <f>IF(G232&lt;0,IF(H232=0,0,IF(OR(G232=0,F232=0),"N.M.",IF(ABS(H232/G232)&gt;=10,"N.M.",H232/(-G232)))),IF(H232=0,0,IF(OR(G232=0,F232=0),"N.M.",IF(ABS(H232/G232)&gt;=10,"N.M.",H232/G232))))</f>
        <v>-3.1478894474679893E-2</v>
      </c>
      <c r="J232" s="231"/>
      <c r="K232" s="215">
        <v>194885.17</v>
      </c>
      <c r="L232" s="215">
        <v>184233.59</v>
      </c>
      <c r="M232" s="236">
        <f>+K232-L232</f>
        <v>10651.580000000016</v>
      </c>
      <c r="N232" s="232">
        <f>IF(L232&lt;0,IF(M232=0,0,IF(OR(L232=0,K232=0),"N.M.",IF(ABS(M232/L232)&gt;=10,"N.M.",M232/(-L232)))),IF(M232=0,0,IF(OR(L232=0,K232=0),"N.M.",IF(ABS(M232/L232)&gt;=10,"N.M.",M232/L232))))</f>
        <v>5.7815624175808634E-2</v>
      </c>
      <c r="O232" s="233"/>
      <c r="P232" s="233"/>
      <c r="Q232" s="215">
        <v>287562.7</v>
      </c>
      <c r="R232" s="215">
        <v>259842.21000000002</v>
      </c>
      <c r="S232" s="236">
        <f>+Q232-R232</f>
        <v>27720.489999999991</v>
      </c>
      <c r="T232" s="237">
        <f>IF(R232&lt;0,IF(S232=0,0,IF(OR(R232=0,Q232=0),"N.M.",IF(ABS(S232/R232)&gt;=10,"N.M.",S232/(-R232)))),IF(S232=0,0,IF(OR(R232=0,Q232=0),"N.M.",IF(ABS(S232/R232)&gt;=10,"N.M.",S232/R232))))</f>
        <v>0.10668201290313836</v>
      </c>
      <c r="U232" s="233"/>
      <c r="V232" s="215">
        <v>1007370.04</v>
      </c>
      <c r="W232" s="215">
        <v>945909.64</v>
      </c>
      <c r="X232" s="236">
        <f>+V232-W232</f>
        <v>61460.400000000023</v>
      </c>
      <c r="Y232" s="232">
        <f>IF(W232&lt;0,IF(X232=0,0,IF(OR(W232=0,V232=0),"N.M.",IF(ABS(X232/W232)&gt;=10,"N.M.",X232/(-W232)))),IF(X232=0,0,IF(OR(W232=0,V232=0),"N.M.",IF(ABS(X232/W232)&gt;=10,"N.M.",X232/W232))))</f>
        <v>6.4974916631571719E-2</v>
      </c>
      <c r="AA232" s="215">
        <v>75608.62000000001</v>
      </c>
      <c r="AB232" s="235"/>
      <c r="AC232" s="215">
        <v>88856.67</v>
      </c>
      <c r="AD232" s="215">
        <v>95376.92</v>
      </c>
      <c r="AE232" s="215">
        <v>80292.540000000008</v>
      </c>
      <c r="AF232" s="215">
        <v>70381.89</v>
      </c>
      <c r="AG232" s="215">
        <v>62609.210000000006</v>
      </c>
      <c r="AH232" s="215">
        <v>87348.19</v>
      </c>
      <c r="AI232" s="215">
        <v>90798.56</v>
      </c>
      <c r="AJ232" s="215">
        <v>103380.85</v>
      </c>
      <c r="AK232" s="215">
        <v>73662.539999999994</v>
      </c>
      <c r="AL232" s="215">
        <v>61605.119999999995</v>
      </c>
      <c r="AM232" s="215">
        <v>89728.44</v>
      </c>
      <c r="AN232" s="215">
        <v>92677.53</v>
      </c>
      <c r="AO232" s="235"/>
      <c r="AP232" s="215">
        <v>102510.61</v>
      </c>
      <c r="AQ232" s="215">
        <v>92374.560000000012</v>
      </c>
      <c r="AR232" s="215">
        <v>-7184.61</v>
      </c>
      <c r="AS232" s="215">
        <v>0</v>
      </c>
      <c r="AT232" s="215">
        <v>0</v>
      </c>
      <c r="AU232" s="215">
        <v>0</v>
      </c>
      <c r="AV232" s="215">
        <v>0</v>
      </c>
      <c r="AW232" s="215">
        <v>0</v>
      </c>
      <c r="AX232" s="215">
        <v>0</v>
      </c>
      <c r="AY232" s="215">
        <v>0</v>
      </c>
      <c r="AZ232" s="215">
        <v>0</v>
      </c>
      <c r="BA232" s="215">
        <v>0</v>
      </c>
    </row>
    <row r="233" spans="1:53" s="211" customFormat="1" ht="0.75" customHeight="1" outlineLevel="2" x14ac:dyDescent="0.25">
      <c r="B233" s="212"/>
      <c r="C233" s="213"/>
      <c r="D233" s="229"/>
      <c r="E233" s="229"/>
      <c r="F233" s="215"/>
      <c r="G233" s="215"/>
      <c r="H233" s="236"/>
      <c r="I233" s="237"/>
      <c r="J233" s="231"/>
      <c r="K233" s="215"/>
      <c r="L233" s="215"/>
      <c r="M233" s="236"/>
      <c r="N233" s="232"/>
      <c r="O233" s="233"/>
      <c r="P233" s="233"/>
      <c r="Q233" s="215"/>
      <c r="R233" s="215"/>
      <c r="S233" s="236"/>
      <c r="T233" s="237"/>
      <c r="U233" s="233"/>
      <c r="V233" s="215"/>
      <c r="W233" s="215"/>
      <c r="X233" s="236"/>
      <c r="Y233" s="232"/>
      <c r="AA233" s="215"/>
      <c r="AB233" s="235"/>
      <c r="AC233" s="215"/>
      <c r="AD233" s="215"/>
      <c r="AE233" s="215"/>
      <c r="AF233" s="215"/>
      <c r="AG233" s="215"/>
      <c r="AH233" s="215"/>
      <c r="AI233" s="215"/>
      <c r="AJ233" s="215"/>
      <c r="AK233" s="215"/>
      <c r="AL233" s="215"/>
      <c r="AM233" s="215"/>
      <c r="AN233" s="215"/>
      <c r="AO233" s="23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</row>
    <row r="234" spans="1:53" s="138" customFormat="1" outlineLevel="2" x14ac:dyDescent="0.25">
      <c r="A234" s="138" t="s">
        <v>767</v>
      </c>
      <c r="B234" s="139" t="s">
        <v>768</v>
      </c>
      <c r="C234" s="140" t="s">
        <v>493</v>
      </c>
      <c r="D234" s="141"/>
      <c r="E234" s="142"/>
      <c r="F234" s="143">
        <v>89954.55</v>
      </c>
      <c r="G234" s="143">
        <v>-47820.35</v>
      </c>
      <c r="H234" s="144">
        <f t="shared" ref="H234:H245" si="50">+F234-G234</f>
        <v>137774.9</v>
      </c>
      <c r="I234" s="145">
        <f t="shared" ref="I234:I245" si="51">IF(G234&lt;0,IF(H234=0,0,IF(OR(G234=0,F234=0),"N.M.",IF(ABS(H234/G234)&gt;=10,"N.M.",H234/(-G234)))),IF(H234=0,0,IF(OR(G234=0,F234=0),"N.M.",IF(ABS(H234/G234)&gt;=10,"N.M.",H234/G234))))</f>
        <v>2.8810935093532355</v>
      </c>
      <c r="J234" s="146"/>
      <c r="K234" s="143">
        <v>145207.26999999999</v>
      </c>
      <c r="L234" s="143">
        <v>261.44</v>
      </c>
      <c r="M234" s="144">
        <f t="shared" ref="M234:M245" si="52">+K234-L234</f>
        <v>144945.82999999999</v>
      </c>
      <c r="N234" s="145" t="str">
        <f t="shared" ref="N234:N245" si="53">IF(L234&lt;0,IF(M234=0,0,IF(OR(L234=0,K234=0),"N.M.",IF(ABS(M234/L234)&gt;=10,"N.M.",M234/(-L234)))),IF(M234=0,0,IF(OR(L234=0,K234=0),"N.M.",IF(ABS(M234/L234)&gt;=10,"N.M.",M234/L234))))</f>
        <v>N.M.</v>
      </c>
      <c r="O234" s="147"/>
      <c r="P234" s="146"/>
      <c r="Q234" s="143">
        <v>201102.27</v>
      </c>
      <c r="R234" s="143">
        <v>130729.33</v>
      </c>
      <c r="S234" s="144">
        <f t="shared" ref="S234:S245" si="54">+Q234-R234</f>
        <v>70372.939999999988</v>
      </c>
      <c r="T234" s="145">
        <f t="shared" ref="T234:T245" si="55">IF(R234&lt;0,IF(S234=0,0,IF(OR(R234=0,Q234=0),"N.M.",IF(ABS(S234/R234)&gt;=10,"N.M.",S234/(-R234)))),IF(S234=0,0,IF(OR(R234=0,Q234=0),"N.M.",IF(ABS(S234/R234)&gt;=10,"N.M.",S234/R234))))</f>
        <v>0.53831026289203798</v>
      </c>
      <c r="U234" s="146"/>
      <c r="V234" s="143">
        <v>700697.33000000007</v>
      </c>
      <c r="W234" s="143">
        <v>563056.41999999993</v>
      </c>
      <c r="X234" s="144">
        <f t="shared" ref="X234:X245" si="56">+V234-W234</f>
        <v>137640.91000000015</v>
      </c>
      <c r="Y234" s="145">
        <f t="shared" ref="Y234:Y245" si="57">IF(W234&lt;0,IF(X234=0,0,IF(OR(W234=0,V234=0),"N.M.",IF(ABS(X234/W234)&gt;=10,"N.M.",X234/(-W234)))),IF(X234=0,0,IF(OR(W234=0,V234=0),"N.M.",IF(ABS(X234/W234)&gt;=10,"N.M.",X234/W234))))</f>
        <v>0.24445314023770506</v>
      </c>
      <c r="Z234" s="148"/>
      <c r="AA234" s="149">
        <v>130467.89</v>
      </c>
      <c r="AB234" s="150"/>
      <c r="AC234" s="117">
        <v>48081.79</v>
      </c>
      <c r="AD234" s="117">
        <v>-47820.35</v>
      </c>
      <c r="AE234" s="117">
        <v>-184.72</v>
      </c>
      <c r="AF234" s="117">
        <v>121198.44</v>
      </c>
      <c r="AG234" s="117">
        <v>136748.39000000001</v>
      </c>
      <c r="AH234" s="117">
        <v>47587.06</v>
      </c>
      <c r="AI234" s="117">
        <v>-36978.06</v>
      </c>
      <c r="AJ234" s="117">
        <v>49545.85</v>
      </c>
      <c r="AK234" s="117">
        <v>58855.3</v>
      </c>
      <c r="AL234" s="117">
        <v>-2556.52</v>
      </c>
      <c r="AM234" s="117">
        <v>125379.32</v>
      </c>
      <c r="AN234" s="117">
        <v>55895</v>
      </c>
      <c r="AO234" s="150"/>
      <c r="AP234" s="117">
        <v>55252.72</v>
      </c>
      <c r="AQ234" s="117">
        <v>89954.55</v>
      </c>
      <c r="AR234" s="117">
        <v>-19507.47</v>
      </c>
      <c r="AS234" s="117">
        <v>0</v>
      </c>
      <c r="AT234" s="117">
        <v>0</v>
      </c>
      <c r="AU234" s="117">
        <v>0</v>
      </c>
      <c r="AV234" s="117">
        <v>0</v>
      </c>
      <c r="AW234" s="117">
        <v>0</v>
      </c>
      <c r="AX234" s="117">
        <v>0</v>
      </c>
      <c r="AY234" s="117">
        <v>0</v>
      </c>
      <c r="AZ234" s="117">
        <v>0</v>
      </c>
      <c r="BA234" s="117">
        <v>0</v>
      </c>
    </row>
    <row r="235" spans="1:53" s="138" customFormat="1" outlineLevel="2" x14ac:dyDescent="0.25">
      <c r="A235" s="138" t="s">
        <v>769</v>
      </c>
      <c r="B235" s="139" t="s">
        <v>770</v>
      </c>
      <c r="C235" s="140" t="s">
        <v>771</v>
      </c>
      <c r="D235" s="141"/>
      <c r="E235" s="142"/>
      <c r="F235" s="143">
        <v>-35.410000000000004</v>
      </c>
      <c r="G235" s="143">
        <v>222.95000000000002</v>
      </c>
      <c r="H235" s="144">
        <f t="shared" si="50"/>
        <v>-258.36</v>
      </c>
      <c r="I235" s="145">
        <f t="shared" si="51"/>
        <v>-1.1588248486207671</v>
      </c>
      <c r="J235" s="146"/>
      <c r="K235" s="143">
        <v>-239.11</v>
      </c>
      <c r="L235" s="143">
        <v>695.29</v>
      </c>
      <c r="M235" s="144">
        <f t="shared" si="52"/>
        <v>-934.4</v>
      </c>
      <c r="N235" s="145">
        <f t="shared" si="53"/>
        <v>-1.3438996677645298</v>
      </c>
      <c r="O235" s="147"/>
      <c r="P235" s="146"/>
      <c r="Q235" s="143">
        <v>210.8</v>
      </c>
      <c r="R235" s="143">
        <v>1071.08</v>
      </c>
      <c r="S235" s="144">
        <f t="shared" si="54"/>
        <v>-860.28</v>
      </c>
      <c r="T235" s="145">
        <f t="shared" si="55"/>
        <v>-0.80318930425365054</v>
      </c>
      <c r="U235" s="146"/>
      <c r="V235" s="143">
        <v>2199.5499999999997</v>
      </c>
      <c r="W235" s="143">
        <v>3068.2</v>
      </c>
      <c r="X235" s="144">
        <f t="shared" si="56"/>
        <v>-868.65000000000009</v>
      </c>
      <c r="Y235" s="145">
        <f t="shared" si="57"/>
        <v>-0.28311387784368691</v>
      </c>
      <c r="Z235" s="148"/>
      <c r="AA235" s="149">
        <v>375.79</v>
      </c>
      <c r="AB235" s="150"/>
      <c r="AC235" s="117">
        <v>472.34000000000003</v>
      </c>
      <c r="AD235" s="117">
        <v>222.95000000000002</v>
      </c>
      <c r="AE235" s="117">
        <v>305.38</v>
      </c>
      <c r="AF235" s="117">
        <v>-102.54</v>
      </c>
      <c r="AG235" s="117">
        <v>266.42</v>
      </c>
      <c r="AH235" s="117">
        <v>429.85</v>
      </c>
      <c r="AI235" s="117">
        <v>176.61</v>
      </c>
      <c r="AJ235" s="117">
        <v>558.37</v>
      </c>
      <c r="AK235" s="117">
        <v>-148.1</v>
      </c>
      <c r="AL235" s="117">
        <v>296.90000000000003</v>
      </c>
      <c r="AM235" s="117">
        <v>205.86</v>
      </c>
      <c r="AN235" s="117">
        <v>449.91</v>
      </c>
      <c r="AO235" s="150"/>
      <c r="AP235" s="117">
        <v>-203.70000000000002</v>
      </c>
      <c r="AQ235" s="117">
        <v>-35.410000000000004</v>
      </c>
      <c r="AR235" s="117">
        <v>0</v>
      </c>
      <c r="AS235" s="117">
        <v>0</v>
      </c>
      <c r="AT235" s="117">
        <v>0</v>
      </c>
      <c r="AU235" s="117">
        <v>0</v>
      </c>
      <c r="AV235" s="117">
        <v>0</v>
      </c>
      <c r="AW235" s="117">
        <v>0</v>
      </c>
      <c r="AX235" s="117">
        <v>0</v>
      </c>
      <c r="AY235" s="117">
        <v>0</v>
      </c>
      <c r="AZ235" s="117">
        <v>0</v>
      </c>
      <c r="BA235" s="117">
        <v>0</v>
      </c>
    </row>
    <row r="236" spans="1:53" s="138" customFormat="1" outlineLevel="2" x14ac:dyDescent="0.25">
      <c r="A236" s="138" t="s">
        <v>772</v>
      </c>
      <c r="B236" s="139" t="s">
        <v>773</v>
      </c>
      <c r="C236" s="140" t="s">
        <v>774</v>
      </c>
      <c r="D236" s="141"/>
      <c r="E236" s="142"/>
      <c r="F236" s="143">
        <v>11035.45</v>
      </c>
      <c r="G236" s="143">
        <v>9518.5500000000011</v>
      </c>
      <c r="H236" s="144">
        <f t="shared" si="50"/>
        <v>1516.8999999999996</v>
      </c>
      <c r="I236" s="145">
        <f t="shared" si="51"/>
        <v>0.15936250794501258</v>
      </c>
      <c r="J236" s="146"/>
      <c r="K236" s="143">
        <v>27152.84</v>
      </c>
      <c r="L236" s="143">
        <v>18313.22</v>
      </c>
      <c r="M236" s="144">
        <f t="shared" si="52"/>
        <v>8839.619999999999</v>
      </c>
      <c r="N236" s="145">
        <f t="shared" si="53"/>
        <v>0.48269064642919152</v>
      </c>
      <c r="O236" s="147"/>
      <c r="P236" s="146"/>
      <c r="Q236" s="143">
        <v>42679.58</v>
      </c>
      <c r="R236" s="143">
        <v>36462.449999999997</v>
      </c>
      <c r="S236" s="144">
        <f t="shared" si="54"/>
        <v>6217.1300000000047</v>
      </c>
      <c r="T236" s="145">
        <f t="shared" si="55"/>
        <v>0.17050774152587128</v>
      </c>
      <c r="U236" s="146"/>
      <c r="V236" s="143">
        <v>246968.76</v>
      </c>
      <c r="W236" s="143">
        <v>188915.07</v>
      </c>
      <c r="X236" s="144">
        <f t="shared" si="56"/>
        <v>58053.69</v>
      </c>
      <c r="Y236" s="145">
        <f t="shared" si="57"/>
        <v>0.30730047105294461</v>
      </c>
      <c r="Z236" s="148"/>
      <c r="AA236" s="149">
        <v>18149.23</v>
      </c>
      <c r="AB236" s="150"/>
      <c r="AC236" s="117">
        <v>8794.67</v>
      </c>
      <c r="AD236" s="117">
        <v>9518.5500000000011</v>
      </c>
      <c r="AE236" s="117">
        <v>8475.6200000000008</v>
      </c>
      <c r="AF236" s="117">
        <v>10695.880000000001</v>
      </c>
      <c r="AG236" s="117">
        <v>15782.630000000001</v>
      </c>
      <c r="AH236" s="117">
        <v>12953.35</v>
      </c>
      <c r="AI236" s="117">
        <v>13653.56</v>
      </c>
      <c r="AJ236" s="117">
        <v>11537.460000000001</v>
      </c>
      <c r="AK236" s="117">
        <v>45478.31</v>
      </c>
      <c r="AL236" s="117">
        <v>13249.51</v>
      </c>
      <c r="AM236" s="117">
        <v>72462.86</v>
      </c>
      <c r="AN236" s="117">
        <v>15526.74</v>
      </c>
      <c r="AO236" s="150"/>
      <c r="AP236" s="117">
        <v>16117.390000000001</v>
      </c>
      <c r="AQ236" s="117">
        <v>11035.45</v>
      </c>
      <c r="AR236" s="117">
        <v>0</v>
      </c>
      <c r="AS236" s="117">
        <v>0</v>
      </c>
      <c r="AT236" s="117">
        <v>0</v>
      </c>
      <c r="AU236" s="117">
        <v>0</v>
      </c>
      <c r="AV236" s="117">
        <v>0</v>
      </c>
      <c r="AW236" s="117">
        <v>0</v>
      </c>
      <c r="AX236" s="117">
        <v>0</v>
      </c>
      <c r="AY236" s="117">
        <v>0</v>
      </c>
      <c r="AZ236" s="117">
        <v>0</v>
      </c>
      <c r="BA236" s="117">
        <v>0</v>
      </c>
    </row>
    <row r="237" spans="1:53" s="138" customFormat="1" outlineLevel="2" x14ac:dyDescent="0.25">
      <c r="A237" s="138" t="s">
        <v>775</v>
      </c>
      <c r="B237" s="139" t="s">
        <v>776</v>
      </c>
      <c r="C237" s="140" t="s">
        <v>717</v>
      </c>
      <c r="D237" s="141"/>
      <c r="E237" s="142"/>
      <c r="F237" s="143">
        <v>1405.55</v>
      </c>
      <c r="G237" s="143">
        <v>123789.58</v>
      </c>
      <c r="H237" s="144">
        <f t="shared" si="50"/>
        <v>-122384.03</v>
      </c>
      <c r="I237" s="145">
        <f t="shared" si="51"/>
        <v>-0.98864565175841135</v>
      </c>
      <c r="J237" s="146"/>
      <c r="K237" s="143">
        <v>54294.97</v>
      </c>
      <c r="L237" s="143">
        <v>198132.69</v>
      </c>
      <c r="M237" s="144">
        <f t="shared" si="52"/>
        <v>-143837.72</v>
      </c>
      <c r="N237" s="145">
        <f t="shared" si="53"/>
        <v>-0.7259666236803225</v>
      </c>
      <c r="O237" s="147"/>
      <c r="P237" s="146"/>
      <c r="Q237" s="143">
        <v>420248.29000000004</v>
      </c>
      <c r="R237" s="143">
        <v>162428.88</v>
      </c>
      <c r="S237" s="144">
        <f t="shared" si="54"/>
        <v>257819.41000000003</v>
      </c>
      <c r="T237" s="145">
        <f t="shared" si="55"/>
        <v>1.5872756741288867</v>
      </c>
      <c r="U237" s="146"/>
      <c r="V237" s="143">
        <v>977496.07299999997</v>
      </c>
      <c r="W237" s="143">
        <v>490647.15</v>
      </c>
      <c r="X237" s="144">
        <f t="shared" si="56"/>
        <v>486848.92299999995</v>
      </c>
      <c r="Y237" s="145">
        <f t="shared" si="57"/>
        <v>0.99225874031878092</v>
      </c>
      <c r="Z237" s="148"/>
      <c r="AA237" s="149">
        <v>-35703.81</v>
      </c>
      <c r="AB237" s="150"/>
      <c r="AC237" s="117">
        <v>74343.11</v>
      </c>
      <c r="AD237" s="117">
        <v>123789.58</v>
      </c>
      <c r="AE237" s="117">
        <v>122622.58</v>
      </c>
      <c r="AF237" s="117">
        <v>-74461.78</v>
      </c>
      <c r="AG237" s="117">
        <v>67432.082999999999</v>
      </c>
      <c r="AH237" s="117">
        <v>58600.78</v>
      </c>
      <c r="AI237" s="117">
        <v>43919.49</v>
      </c>
      <c r="AJ237" s="117">
        <v>57892.9</v>
      </c>
      <c r="AK237" s="117">
        <v>31535.49</v>
      </c>
      <c r="AL237" s="117">
        <v>167998.97</v>
      </c>
      <c r="AM237" s="117">
        <v>81707.27</v>
      </c>
      <c r="AN237" s="117">
        <v>365953.32</v>
      </c>
      <c r="AO237" s="150"/>
      <c r="AP237" s="117">
        <v>52889.42</v>
      </c>
      <c r="AQ237" s="117">
        <v>1405.55</v>
      </c>
      <c r="AR237" s="117">
        <v>-24003.3</v>
      </c>
      <c r="AS237" s="117">
        <v>0</v>
      </c>
      <c r="AT237" s="117">
        <v>0</v>
      </c>
      <c r="AU237" s="117">
        <v>0</v>
      </c>
      <c r="AV237" s="117">
        <v>0</v>
      </c>
      <c r="AW237" s="117">
        <v>0</v>
      </c>
      <c r="AX237" s="117">
        <v>0</v>
      </c>
      <c r="AY237" s="117">
        <v>0</v>
      </c>
      <c r="AZ237" s="117">
        <v>0</v>
      </c>
      <c r="BA237" s="117">
        <v>0</v>
      </c>
    </row>
    <row r="238" spans="1:53" s="138" customFormat="1" outlineLevel="2" x14ac:dyDescent="0.25">
      <c r="A238" s="138" t="s">
        <v>777</v>
      </c>
      <c r="B238" s="139" t="s">
        <v>778</v>
      </c>
      <c r="C238" s="140" t="s">
        <v>720</v>
      </c>
      <c r="D238" s="141"/>
      <c r="E238" s="142"/>
      <c r="F238" s="143">
        <v>9886.6200000000008</v>
      </c>
      <c r="G238" s="143">
        <v>4816.91</v>
      </c>
      <c r="H238" s="144">
        <f t="shared" si="50"/>
        <v>5069.7100000000009</v>
      </c>
      <c r="I238" s="145">
        <f t="shared" si="51"/>
        <v>1.0524817777371802</v>
      </c>
      <c r="J238" s="146"/>
      <c r="K238" s="143">
        <v>22615.89</v>
      </c>
      <c r="L238" s="143">
        <v>14783.630000000001</v>
      </c>
      <c r="M238" s="144">
        <f t="shared" si="52"/>
        <v>7832.2599999999984</v>
      </c>
      <c r="N238" s="145">
        <f t="shared" si="53"/>
        <v>0.52979275049497299</v>
      </c>
      <c r="O238" s="147"/>
      <c r="P238" s="146"/>
      <c r="Q238" s="143">
        <v>28911.91</v>
      </c>
      <c r="R238" s="143">
        <v>20458.800000000003</v>
      </c>
      <c r="S238" s="144">
        <f t="shared" si="54"/>
        <v>8453.1099999999969</v>
      </c>
      <c r="T238" s="145">
        <f t="shared" si="55"/>
        <v>0.41317721469489882</v>
      </c>
      <c r="U238" s="146"/>
      <c r="V238" s="143">
        <v>123189.28</v>
      </c>
      <c r="W238" s="143">
        <v>101928.49</v>
      </c>
      <c r="X238" s="144">
        <f t="shared" si="56"/>
        <v>21260.789999999994</v>
      </c>
      <c r="Y238" s="145">
        <f t="shared" si="57"/>
        <v>0.20858535233868364</v>
      </c>
      <c r="Z238" s="148"/>
      <c r="AA238" s="149">
        <v>5675.17</v>
      </c>
      <c r="AB238" s="150"/>
      <c r="AC238" s="117">
        <v>9966.7199999999993</v>
      </c>
      <c r="AD238" s="117">
        <v>4816.91</v>
      </c>
      <c r="AE238" s="117">
        <v>8357.26</v>
      </c>
      <c r="AF238" s="117">
        <v>11269.02</v>
      </c>
      <c r="AG238" s="117">
        <v>9772.31</v>
      </c>
      <c r="AH238" s="117">
        <v>13731.76</v>
      </c>
      <c r="AI238" s="117">
        <v>8662.0400000000009</v>
      </c>
      <c r="AJ238" s="117">
        <v>11226.65</v>
      </c>
      <c r="AK238" s="117">
        <v>7606.82</v>
      </c>
      <c r="AL238" s="117">
        <v>10006.030000000001</v>
      </c>
      <c r="AM238" s="117">
        <v>13645.48</v>
      </c>
      <c r="AN238" s="117">
        <v>6296.02</v>
      </c>
      <c r="AO238" s="150"/>
      <c r="AP238" s="117">
        <v>12729.27</v>
      </c>
      <c r="AQ238" s="117">
        <v>9886.6200000000008</v>
      </c>
      <c r="AR238" s="117">
        <v>-25.79</v>
      </c>
      <c r="AS238" s="117">
        <v>0</v>
      </c>
      <c r="AT238" s="117">
        <v>0</v>
      </c>
      <c r="AU238" s="117">
        <v>0</v>
      </c>
      <c r="AV238" s="117">
        <v>0</v>
      </c>
      <c r="AW238" s="117">
        <v>0</v>
      </c>
      <c r="AX238" s="117">
        <v>0</v>
      </c>
      <c r="AY238" s="117">
        <v>0</v>
      </c>
      <c r="AZ238" s="117">
        <v>0</v>
      </c>
      <c r="BA238" s="117">
        <v>0</v>
      </c>
    </row>
    <row r="239" spans="1:53" s="138" customFormat="1" outlineLevel="2" x14ac:dyDescent="0.25">
      <c r="A239" s="138" t="s">
        <v>779</v>
      </c>
      <c r="B239" s="139" t="s">
        <v>780</v>
      </c>
      <c r="C239" s="140" t="s">
        <v>781</v>
      </c>
      <c r="D239" s="141"/>
      <c r="E239" s="142"/>
      <c r="F239" s="143">
        <v>26982.400000000001</v>
      </c>
      <c r="G239" s="143">
        <v>6539.9000000000005</v>
      </c>
      <c r="H239" s="144">
        <f t="shared" si="50"/>
        <v>20442.5</v>
      </c>
      <c r="I239" s="145">
        <f t="shared" si="51"/>
        <v>3.1258123212893163</v>
      </c>
      <c r="J239" s="146"/>
      <c r="K239" s="143">
        <v>38381.06</v>
      </c>
      <c r="L239" s="143">
        <v>16222.52</v>
      </c>
      <c r="M239" s="144">
        <f t="shared" si="52"/>
        <v>22158.539999999997</v>
      </c>
      <c r="N239" s="145">
        <f t="shared" si="53"/>
        <v>1.3659123243491145</v>
      </c>
      <c r="O239" s="147"/>
      <c r="P239" s="146"/>
      <c r="Q239" s="143">
        <v>59169.88</v>
      </c>
      <c r="R239" s="143">
        <v>32621.350000000002</v>
      </c>
      <c r="S239" s="144">
        <f t="shared" si="54"/>
        <v>26548.529999999995</v>
      </c>
      <c r="T239" s="145">
        <f t="shared" si="55"/>
        <v>0.81383909617474426</v>
      </c>
      <c r="U239" s="146"/>
      <c r="V239" s="143">
        <v>203621.03</v>
      </c>
      <c r="W239" s="143">
        <v>173960.25999999998</v>
      </c>
      <c r="X239" s="144">
        <f t="shared" si="56"/>
        <v>29660.770000000019</v>
      </c>
      <c r="Y239" s="145">
        <f t="shared" si="57"/>
        <v>0.17050313675088793</v>
      </c>
      <c r="Z239" s="148"/>
      <c r="AA239" s="149">
        <v>16398.830000000002</v>
      </c>
      <c r="AB239" s="150"/>
      <c r="AC239" s="117">
        <v>9682.6200000000008</v>
      </c>
      <c r="AD239" s="117">
        <v>6539.9000000000005</v>
      </c>
      <c r="AE239" s="117">
        <v>36818.700000000004</v>
      </c>
      <c r="AF239" s="117">
        <v>6694.97</v>
      </c>
      <c r="AG239" s="117">
        <v>7966.81</v>
      </c>
      <c r="AH239" s="117">
        <v>18705.490000000002</v>
      </c>
      <c r="AI239" s="117">
        <v>9909.59</v>
      </c>
      <c r="AJ239" s="117">
        <v>15912.59</v>
      </c>
      <c r="AK239" s="117">
        <v>22243.360000000001</v>
      </c>
      <c r="AL239" s="117">
        <v>14836.4</v>
      </c>
      <c r="AM239" s="117">
        <v>11363.24</v>
      </c>
      <c r="AN239" s="117">
        <v>20788.82</v>
      </c>
      <c r="AO239" s="150"/>
      <c r="AP239" s="117">
        <v>11398.66</v>
      </c>
      <c r="AQ239" s="117">
        <v>26982.400000000001</v>
      </c>
      <c r="AR239" s="117">
        <v>1900.06</v>
      </c>
      <c r="AS239" s="117">
        <v>0</v>
      </c>
      <c r="AT239" s="117">
        <v>0</v>
      </c>
      <c r="AU239" s="117">
        <v>0</v>
      </c>
      <c r="AV239" s="117">
        <v>0</v>
      </c>
      <c r="AW239" s="117">
        <v>0</v>
      </c>
      <c r="AX239" s="117">
        <v>0</v>
      </c>
      <c r="AY239" s="117">
        <v>0</v>
      </c>
      <c r="AZ239" s="117">
        <v>0</v>
      </c>
      <c r="BA239" s="117">
        <v>0</v>
      </c>
    </row>
    <row r="240" spans="1:53" s="138" customFormat="1" outlineLevel="2" x14ac:dyDescent="0.25">
      <c r="A240" s="138" t="s">
        <v>782</v>
      </c>
      <c r="B240" s="139" t="s">
        <v>783</v>
      </c>
      <c r="C240" s="140" t="s">
        <v>784</v>
      </c>
      <c r="D240" s="141"/>
      <c r="E240" s="142"/>
      <c r="F240" s="143">
        <v>107541.53</v>
      </c>
      <c r="G240" s="143">
        <v>9073.7199999999993</v>
      </c>
      <c r="H240" s="144">
        <f t="shared" si="50"/>
        <v>98467.81</v>
      </c>
      <c r="I240" s="145" t="str">
        <f t="shared" si="51"/>
        <v>N.M.</v>
      </c>
      <c r="J240" s="146"/>
      <c r="K240" s="143">
        <v>194088</v>
      </c>
      <c r="L240" s="143">
        <v>38229.72</v>
      </c>
      <c r="M240" s="144">
        <f t="shared" si="52"/>
        <v>155858.28</v>
      </c>
      <c r="N240" s="145">
        <f t="shared" si="53"/>
        <v>4.0768878244465299</v>
      </c>
      <c r="O240" s="147"/>
      <c r="P240" s="146"/>
      <c r="Q240" s="143">
        <v>340386.58</v>
      </c>
      <c r="R240" s="143">
        <v>101592.79000000001</v>
      </c>
      <c r="S240" s="144">
        <f t="shared" si="54"/>
        <v>238793.79</v>
      </c>
      <c r="T240" s="145">
        <f t="shared" si="55"/>
        <v>2.350499380910791</v>
      </c>
      <c r="U240" s="146"/>
      <c r="V240" s="143">
        <v>1066178.96</v>
      </c>
      <c r="W240" s="143">
        <v>745029.33</v>
      </c>
      <c r="X240" s="144">
        <f t="shared" si="56"/>
        <v>321149.63</v>
      </c>
      <c r="Y240" s="145">
        <f t="shared" si="57"/>
        <v>0.43105635854631391</v>
      </c>
      <c r="Z240" s="148"/>
      <c r="AA240" s="149">
        <v>63363.07</v>
      </c>
      <c r="AB240" s="150"/>
      <c r="AC240" s="117">
        <v>29156</v>
      </c>
      <c r="AD240" s="117">
        <v>9073.7199999999993</v>
      </c>
      <c r="AE240" s="117">
        <v>32336.670000000002</v>
      </c>
      <c r="AF240" s="117">
        <v>67873.34</v>
      </c>
      <c r="AG240" s="117">
        <v>86726.11</v>
      </c>
      <c r="AH240" s="117">
        <v>87147.39</v>
      </c>
      <c r="AI240" s="117">
        <v>79042.53</v>
      </c>
      <c r="AJ240" s="117">
        <v>112383.01000000001</v>
      </c>
      <c r="AK240" s="117">
        <v>88256.44</v>
      </c>
      <c r="AL240" s="117">
        <v>101570.92</v>
      </c>
      <c r="AM240" s="117">
        <v>70455.97</v>
      </c>
      <c r="AN240" s="117">
        <v>146298.58000000002</v>
      </c>
      <c r="AO240" s="150"/>
      <c r="AP240" s="117">
        <v>86546.47</v>
      </c>
      <c r="AQ240" s="117">
        <v>107541.53</v>
      </c>
      <c r="AR240" s="117">
        <v>89.94</v>
      </c>
      <c r="AS240" s="117">
        <v>0</v>
      </c>
      <c r="AT240" s="117">
        <v>0</v>
      </c>
      <c r="AU240" s="117">
        <v>0</v>
      </c>
      <c r="AV240" s="117">
        <v>0</v>
      </c>
      <c r="AW240" s="117">
        <v>0</v>
      </c>
      <c r="AX240" s="117">
        <v>0</v>
      </c>
      <c r="AY240" s="117">
        <v>0</v>
      </c>
      <c r="AZ240" s="117">
        <v>0</v>
      </c>
      <c r="BA240" s="117">
        <v>0</v>
      </c>
    </row>
    <row r="241" spans="1:53" s="138" customFormat="1" outlineLevel="2" x14ac:dyDescent="0.25">
      <c r="A241" s="138" t="s">
        <v>785</v>
      </c>
      <c r="B241" s="139" t="s">
        <v>786</v>
      </c>
      <c r="C241" s="140" t="s">
        <v>787</v>
      </c>
      <c r="D241" s="141"/>
      <c r="E241" s="142"/>
      <c r="F241" s="143">
        <v>8906.43</v>
      </c>
      <c r="G241" s="143">
        <v>10653.12</v>
      </c>
      <c r="H241" s="144">
        <f t="shared" si="50"/>
        <v>-1746.6900000000005</v>
      </c>
      <c r="I241" s="145">
        <f t="shared" si="51"/>
        <v>-0.16396041722988197</v>
      </c>
      <c r="J241" s="146"/>
      <c r="K241" s="143">
        <v>18677.490000000002</v>
      </c>
      <c r="L241" s="143">
        <v>26695.75</v>
      </c>
      <c r="M241" s="144">
        <f t="shared" si="52"/>
        <v>-8018.2599999999984</v>
      </c>
      <c r="N241" s="145">
        <f t="shared" si="53"/>
        <v>-0.30035717295824238</v>
      </c>
      <c r="O241" s="147"/>
      <c r="P241" s="146"/>
      <c r="Q241" s="143">
        <v>33484.06</v>
      </c>
      <c r="R241" s="143">
        <v>38549</v>
      </c>
      <c r="S241" s="144">
        <f t="shared" si="54"/>
        <v>-5064.9400000000023</v>
      </c>
      <c r="T241" s="145">
        <f t="shared" si="55"/>
        <v>-0.13138965991335708</v>
      </c>
      <c r="U241" s="146"/>
      <c r="V241" s="143">
        <v>149687.34</v>
      </c>
      <c r="W241" s="143">
        <v>158868.78</v>
      </c>
      <c r="X241" s="144">
        <f t="shared" si="56"/>
        <v>-9181.4400000000023</v>
      </c>
      <c r="Y241" s="145">
        <f t="shared" si="57"/>
        <v>-5.7792600912526693E-2</v>
      </c>
      <c r="Z241" s="148"/>
      <c r="AA241" s="149">
        <v>11853.25</v>
      </c>
      <c r="AB241" s="150"/>
      <c r="AC241" s="117">
        <v>16042.630000000001</v>
      </c>
      <c r="AD241" s="117">
        <v>10653.12</v>
      </c>
      <c r="AE241" s="117">
        <v>21811.34</v>
      </c>
      <c r="AF241" s="117">
        <v>12268.6</v>
      </c>
      <c r="AG241" s="117">
        <v>11389.7</v>
      </c>
      <c r="AH241" s="117">
        <v>12383.75</v>
      </c>
      <c r="AI241" s="117">
        <v>7514.32</v>
      </c>
      <c r="AJ241" s="117">
        <v>13693.33</v>
      </c>
      <c r="AK241" s="117">
        <v>17019.990000000002</v>
      </c>
      <c r="AL241" s="117">
        <v>11868.27</v>
      </c>
      <c r="AM241" s="117">
        <v>8253.98</v>
      </c>
      <c r="AN241" s="117">
        <v>14806.57</v>
      </c>
      <c r="AO241" s="150"/>
      <c r="AP241" s="117">
        <v>9771.06</v>
      </c>
      <c r="AQ241" s="117">
        <v>8906.43</v>
      </c>
      <c r="AR241" s="117">
        <v>-1120.7</v>
      </c>
      <c r="AS241" s="117">
        <v>0</v>
      </c>
      <c r="AT241" s="117">
        <v>0</v>
      </c>
      <c r="AU241" s="117">
        <v>0</v>
      </c>
      <c r="AV241" s="117">
        <v>0</v>
      </c>
      <c r="AW241" s="117">
        <v>0</v>
      </c>
      <c r="AX241" s="117">
        <v>0</v>
      </c>
      <c r="AY241" s="117">
        <v>0</v>
      </c>
      <c r="AZ241" s="117">
        <v>0</v>
      </c>
      <c r="BA241" s="117">
        <v>0</v>
      </c>
    </row>
    <row r="242" spans="1:53" s="138" customFormat="1" outlineLevel="2" x14ac:dyDescent="0.25">
      <c r="A242" s="138" t="s">
        <v>788</v>
      </c>
      <c r="B242" s="139" t="s">
        <v>789</v>
      </c>
      <c r="C242" s="140" t="s">
        <v>790</v>
      </c>
      <c r="D242" s="141"/>
      <c r="E242" s="142"/>
      <c r="F242" s="143">
        <v>316902.08</v>
      </c>
      <c r="G242" s="143">
        <v>346537.2</v>
      </c>
      <c r="H242" s="144">
        <f t="shared" si="50"/>
        <v>-29635.119999999995</v>
      </c>
      <c r="I242" s="145">
        <f t="shared" si="51"/>
        <v>-8.5517860708749296E-2</v>
      </c>
      <c r="J242" s="146"/>
      <c r="K242" s="143">
        <v>207225.43</v>
      </c>
      <c r="L242" s="143">
        <v>590486.22</v>
      </c>
      <c r="M242" s="144">
        <f t="shared" si="52"/>
        <v>-383260.79</v>
      </c>
      <c r="N242" s="145">
        <f t="shared" si="53"/>
        <v>-0.64905966814941085</v>
      </c>
      <c r="O242" s="147"/>
      <c r="P242" s="146"/>
      <c r="Q242" s="143">
        <v>1026181.1000000001</v>
      </c>
      <c r="R242" s="143">
        <v>969299.83</v>
      </c>
      <c r="S242" s="144">
        <f t="shared" si="54"/>
        <v>56881.270000000135</v>
      </c>
      <c r="T242" s="145">
        <f t="shared" si="55"/>
        <v>5.8682843264297423E-2</v>
      </c>
      <c r="U242" s="146"/>
      <c r="V242" s="143">
        <v>3797116.125</v>
      </c>
      <c r="W242" s="143">
        <v>4759991.3099999996</v>
      </c>
      <c r="X242" s="144">
        <f t="shared" si="56"/>
        <v>-962875.18499999959</v>
      </c>
      <c r="Y242" s="145">
        <f t="shared" si="57"/>
        <v>-0.20228507202883941</v>
      </c>
      <c r="Z242" s="148"/>
      <c r="AA242" s="149">
        <v>378813.61</v>
      </c>
      <c r="AB242" s="150"/>
      <c r="AC242" s="117">
        <v>243949.02000000002</v>
      </c>
      <c r="AD242" s="117">
        <v>346537.2</v>
      </c>
      <c r="AE242" s="117">
        <v>366903.02</v>
      </c>
      <c r="AF242" s="117">
        <v>323565.19</v>
      </c>
      <c r="AG242" s="117">
        <v>309928.315</v>
      </c>
      <c r="AH242" s="117">
        <v>266098.14</v>
      </c>
      <c r="AI242" s="117">
        <v>268121.05</v>
      </c>
      <c r="AJ242" s="117">
        <v>344700.55</v>
      </c>
      <c r="AK242" s="117">
        <v>282369.78999999998</v>
      </c>
      <c r="AL242" s="117">
        <v>288446.73</v>
      </c>
      <c r="AM242" s="117">
        <v>320802.24</v>
      </c>
      <c r="AN242" s="117">
        <v>818955.67</v>
      </c>
      <c r="AO242" s="150"/>
      <c r="AP242" s="117">
        <v>-109676.65000000001</v>
      </c>
      <c r="AQ242" s="117">
        <v>316902.08</v>
      </c>
      <c r="AR242" s="117">
        <v>-23725.29</v>
      </c>
      <c r="AS242" s="117">
        <v>0</v>
      </c>
      <c r="AT242" s="117">
        <v>0</v>
      </c>
      <c r="AU242" s="117">
        <v>0</v>
      </c>
      <c r="AV242" s="117">
        <v>0</v>
      </c>
      <c r="AW242" s="117">
        <v>0</v>
      </c>
      <c r="AX242" s="117">
        <v>0</v>
      </c>
      <c r="AY242" s="117">
        <v>0</v>
      </c>
      <c r="AZ242" s="117">
        <v>0</v>
      </c>
      <c r="BA242" s="117">
        <v>0</v>
      </c>
    </row>
    <row r="243" spans="1:53" s="138" customFormat="1" outlineLevel="2" x14ac:dyDescent="0.25">
      <c r="A243" s="138" t="s">
        <v>791</v>
      </c>
      <c r="B243" s="139" t="s">
        <v>792</v>
      </c>
      <c r="C243" s="140" t="s">
        <v>753</v>
      </c>
      <c r="D243" s="141"/>
      <c r="E243" s="142"/>
      <c r="F243" s="143">
        <v>130810.54000000001</v>
      </c>
      <c r="G243" s="143">
        <v>114044.52</v>
      </c>
      <c r="H243" s="144">
        <f t="shared" si="50"/>
        <v>16766.020000000004</v>
      </c>
      <c r="I243" s="145">
        <f t="shared" si="51"/>
        <v>0.14701293845596441</v>
      </c>
      <c r="J243" s="146"/>
      <c r="K243" s="143">
        <v>261499.9</v>
      </c>
      <c r="L243" s="143">
        <v>233768.39</v>
      </c>
      <c r="M243" s="144">
        <f t="shared" si="52"/>
        <v>27731.50999999998</v>
      </c>
      <c r="N243" s="145">
        <f t="shared" si="53"/>
        <v>0.11862814300941192</v>
      </c>
      <c r="O243" s="147"/>
      <c r="P243" s="146"/>
      <c r="Q243" s="143">
        <v>394187.62</v>
      </c>
      <c r="R243" s="143">
        <v>334097.07</v>
      </c>
      <c r="S243" s="144">
        <f t="shared" si="54"/>
        <v>60090.549999999988</v>
      </c>
      <c r="T243" s="145">
        <f t="shared" si="55"/>
        <v>0.17985955399129955</v>
      </c>
      <c r="U243" s="146"/>
      <c r="V243" s="143">
        <v>1648391.24</v>
      </c>
      <c r="W243" s="143">
        <v>1423077.62</v>
      </c>
      <c r="X243" s="144">
        <f t="shared" si="56"/>
        <v>225313.61999999988</v>
      </c>
      <c r="Y243" s="145">
        <f t="shared" si="57"/>
        <v>0.15832841219159913</v>
      </c>
      <c r="Z243" s="148"/>
      <c r="AA243" s="149">
        <v>100328.68000000001</v>
      </c>
      <c r="AB243" s="150"/>
      <c r="AC243" s="117">
        <v>119723.87</v>
      </c>
      <c r="AD243" s="117">
        <v>114044.52</v>
      </c>
      <c r="AE243" s="117">
        <v>113681</v>
      </c>
      <c r="AF243" s="117">
        <v>114566.33</v>
      </c>
      <c r="AG243" s="117">
        <v>114175.6</v>
      </c>
      <c r="AH243" s="117">
        <v>259012.23</v>
      </c>
      <c r="AI243" s="117">
        <v>132697.62</v>
      </c>
      <c r="AJ243" s="117">
        <v>122557.98</v>
      </c>
      <c r="AK243" s="117">
        <v>132693.93</v>
      </c>
      <c r="AL243" s="117">
        <v>132120.4</v>
      </c>
      <c r="AM243" s="117">
        <v>132698.53</v>
      </c>
      <c r="AN243" s="117">
        <v>132687.72</v>
      </c>
      <c r="AO243" s="150"/>
      <c r="AP243" s="117">
        <v>130689.36</v>
      </c>
      <c r="AQ243" s="117">
        <v>130810.54000000001</v>
      </c>
      <c r="AR243" s="117">
        <v>0</v>
      </c>
      <c r="AS243" s="117">
        <v>0</v>
      </c>
      <c r="AT243" s="117">
        <v>0</v>
      </c>
      <c r="AU243" s="117">
        <v>0</v>
      </c>
      <c r="AV243" s="117">
        <v>0</v>
      </c>
      <c r="AW243" s="117">
        <v>0</v>
      </c>
      <c r="AX243" s="117">
        <v>0</v>
      </c>
      <c r="AY243" s="117">
        <v>0</v>
      </c>
      <c r="AZ243" s="117">
        <v>0</v>
      </c>
      <c r="BA243" s="117">
        <v>0</v>
      </c>
    </row>
    <row r="244" spans="1:53" s="138" customFormat="1" outlineLevel="2" x14ac:dyDescent="0.25">
      <c r="A244" s="138" t="s">
        <v>793</v>
      </c>
      <c r="B244" s="139" t="s">
        <v>794</v>
      </c>
      <c r="C244" s="140" t="s">
        <v>756</v>
      </c>
      <c r="D244" s="141"/>
      <c r="E244" s="142"/>
      <c r="F244" s="143">
        <v>5589.96</v>
      </c>
      <c r="G244" s="143">
        <v>5324.52</v>
      </c>
      <c r="H244" s="144">
        <f t="shared" si="50"/>
        <v>265.4399999999996</v>
      </c>
      <c r="I244" s="145">
        <f t="shared" si="51"/>
        <v>4.9852381059701079E-2</v>
      </c>
      <c r="J244" s="146"/>
      <c r="K244" s="143">
        <v>11179.92</v>
      </c>
      <c r="L244" s="143">
        <v>10649.04</v>
      </c>
      <c r="M244" s="144">
        <f t="shared" si="52"/>
        <v>530.8799999999992</v>
      </c>
      <c r="N244" s="145">
        <f t="shared" si="53"/>
        <v>4.9852381059701079E-2</v>
      </c>
      <c r="O244" s="147"/>
      <c r="P244" s="146"/>
      <c r="Q244" s="143">
        <v>16504.440000000002</v>
      </c>
      <c r="R244" s="143">
        <v>16176.600000000002</v>
      </c>
      <c r="S244" s="144">
        <f t="shared" si="54"/>
        <v>327.84000000000015</v>
      </c>
      <c r="T244" s="145">
        <f t="shared" si="55"/>
        <v>2.0266310596787959E-2</v>
      </c>
      <c r="U244" s="146"/>
      <c r="V244" s="143">
        <v>64425.120000000003</v>
      </c>
      <c r="W244" s="143">
        <v>65924.639999999999</v>
      </c>
      <c r="X244" s="144">
        <f t="shared" si="56"/>
        <v>-1499.5199999999968</v>
      </c>
      <c r="Y244" s="145">
        <f t="shared" si="57"/>
        <v>-2.2745971764123352E-2</v>
      </c>
      <c r="Z244" s="148"/>
      <c r="AA244" s="149">
        <v>5527.56</v>
      </c>
      <c r="AB244" s="150"/>
      <c r="AC244" s="117">
        <v>5324.52</v>
      </c>
      <c r="AD244" s="117">
        <v>5324.52</v>
      </c>
      <c r="AE244" s="117">
        <v>5324.52</v>
      </c>
      <c r="AF244" s="117">
        <v>5324.52</v>
      </c>
      <c r="AG244" s="117">
        <v>5324.52</v>
      </c>
      <c r="AH244" s="117">
        <v>5324.52</v>
      </c>
      <c r="AI244" s="117">
        <v>5324.52</v>
      </c>
      <c r="AJ244" s="117">
        <v>5324.52</v>
      </c>
      <c r="AK244" s="117">
        <v>5324.52</v>
      </c>
      <c r="AL244" s="117">
        <v>5324.52</v>
      </c>
      <c r="AM244" s="117">
        <v>5324.52</v>
      </c>
      <c r="AN244" s="117">
        <v>5324.52</v>
      </c>
      <c r="AO244" s="150"/>
      <c r="AP244" s="117">
        <v>5589.96</v>
      </c>
      <c r="AQ244" s="117">
        <v>5589.96</v>
      </c>
      <c r="AR244" s="117">
        <v>0</v>
      </c>
      <c r="AS244" s="117">
        <v>0</v>
      </c>
      <c r="AT244" s="117">
        <v>0</v>
      </c>
      <c r="AU244" s="117">
        <v>0</v>
      </c>
      <c r="AV244" s="117">
        <v>0</v>
      </c>
      <c r="AW244" s="117">
        <v>0</v>
      </c>
      <c r="AX244" s="117">
        <v>0</v>
      </c>
      <c r="AY244" s="117">
        <v>0</v>
      </c>
      <c r="AZ244" s="117">
        <v>0</v>
      </c>
      <c r="BA244" s="117">
        <v>0</v>
      </c>
    </row>
    <row r="245" spans="1:53" s="211" customFormat="1" outlineLevel="1" x14ac:dyDescent="0.25">
      <c r="A245" s="211" t="s">
        <v>795</v>
      </c>
      <c r="B245" s="212"/>
      <c r="C245" s="213" t="s">
        <v>796</v>
      </c>
      <c r="D245" s="229"/>
      <c r="E245" s="229"/>
      <c r="F245" s="215">
        <v>708979.7</v>
      </c>
      <c r="G245" s="215">
        <v>582700.62</v>
      </c>
      <c r="H245" s="236">
        <f t="shared" si="50"/>
        <v>126279.07999999996</v>
      </c>
      <c r="I245" s="237">
        <f t="shared" si="51"/>
        <v>0.21671348144438213</v>
      </c>
      <c r="J245" s="231"/>
      <c r="K245" s="215">
        <v>980083.66</v>
      </c>
      <c r="L245" s="215">
        <v>1148237.9100000001</v>
      </c>
      <c r="M245" s="236">
        <f t="shared" si="52"/>
        <v>-168154.25000000012</v>
      </c>
      <c r="N245" s="232">
        <f t="shared" si="53"/>
        <v>-0.1464454783590973</v>
      </c>
      <c r="O245" s="233"/>
      <c r="P245" s="233"/>
      <c r="Q245" s="215">
        <v>2563066.5299999998</v>
      </c>
      <c r="R245" s="215">
        <v>1843487.1800000002</v>
      </c>
      <c r="S245" s="236">
        <f t="shared" si="54"/>
        <v>719579.34999999963</v>
      </c>
      <c r="T245" s="237">
        <f t="shared" si="55"/>
        <v>0.39033596642641127</v>
      </c>
      <c r="U245" s="233"/>
      <c r="V245" s="215">
        <v>8979970.8079999983</v>
      </c>
      <c r="W245" s="215">
        <v>8674467.2699999996</v>
      </c>
      <c r="X245" s="236">
        <f t="shared" si="56"/>
        <v>305503.53799999878</v>
      </c>
      <c r="Y245" s="232">
        <f t="shared" si="57"/>
        <v>3.5218708940958264E-2</v>
      </c>
      <c r="AA245" s="215">
        <v>695249.27000000014</v>
      </c>
      <c r="AB245" s="235"/>
      <c r="AC245" s="215">
        <v>565537.29</v>
      </c>
      <c r="AD245" s="215">
        <v>582700.62</v>
      </c>
      <c r="AE245" s="215">
        <v>716451.37000000011</v>
      </c>
      <c r="AF245" s="215">
        <v>598891.97</v>
      </c>
      <c r="AG245" s="215">
        <v>765512.88800000004</v>
      </c>
      <c r="AH245" s="215">
        <v>781974.32000000007</v>
      </c>
      <c r="AI245" s="215">
        <v>532043.27</v>
      </c>
      <c r="AJ245" s="215">
        <v>745333.21</v>
      </c>
      <c r="AK245" s="215">
        <v>691235.84999999986</v>
      </c>
      <c r="AL245" s="215">
        <v>743162.13</v>
      </c>
      <c r="AM245" s="215">
        <v>842299.27</v>
      </c>
      <c r="AN245" s="215">
        <v>1582982.87</v>
      </c>
      <c r="AO245" s="235"/>
      <c r="AP245" s="215">
        <v>271103.96000000002</v>
      </c>
      <c r="AQ245" s="215">
        <v>708979.7</v>
      </c>
      <c r="AR245" s="215">
        <v>-66392.55</v>
      </c>
      <c r="AS245" s="215">
        <v>0</v>
      </c>
      <c r="AT245" s="215">
        <v>0</v>
      </c>
      <c r="AU245" s="215">
        <v>0</v>
      </c>
      <c r="AV245" s="215">
        <v>0</v>
      </c>
      <c r="AW245" s="215">
        <v>0</v>
      </c>
      <c r="AX245" s="215">
        <v>0</v>
      </c>
      <c r="AY245" s="215">
        <v>0</v>
      </c>
      <c r="AZ245" s="215">
        <v>0</v>
      </c>
      <c r="BA245" s="215">
        <v>0</v>
      </c>
    </row>
    <row r="246" spans="1:53" s="211" customFormat="1" ht="0.75" customHeight="1" outlineLevel="2" x14ac:dyDescent="0.25">
      <c r="B246" s="212"/>
      <c r="C246" s="213"/>
      <c r="D246" s="229"/>
      <c r="E246" s="229"/>
      <c r="F246" s="215"/>
      <c r="G246" s="215"/>
      <c r="H246" s="236"/>
      <c r="I246" s="237"/>
      <c r="J246" s="231"/>
      <c r="K246" s="215"/>
      <c r="L246" s="215"/>
      <c r="M246" s="236"/>
      <c r="N246" s="232"/>
      <c r="O246" s="233"/>
      <c r="P246" s="233"/>
      <c r="Q246" s="215"/>
      <c r="R246" s="215"/>
      <c r="S246" s="236"/>
      <c r="T246" s="237"/>
      <c r="U246" s="233"/>
      <c r="V246" s="215"/>
      <c r="W246" s="215"/>
      <c r="X246" s="236"/>
      <c r="Y246" s="232"/>
      <c r="AA246" s="215"/>
      <c r="AB246" s="235"/>
      <c r="AC246" s="215"/>
      <c r="AD246" s="215"/>
      <c r="AE246" s="215"/>
      <c r="AF246" s="215"/>
      <c r="AG246" s="215"/>
      <c r="AH246" s="215"/>
      <c r="AI246" s="215"/>
      <c r="AJ246" s="215"/>
      <c r="AK246" s="215"/>
      <c r="AL246" s="215"/>
      <c r="AM246" s="215"/>
      <c r="AN246" s="215"/>
      <c r="AO246" s="23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</row>
    <row r="247" spans="1:53" s="211" customFormat="1" outlineLevel="1" x14ac:dyDescent="0.25">
      <c r="A247" s="211" t="s">
        <v>797</v>
      </c>
      <c r="B247" s="212"/>
      <c r="C247" s="213" t="s">
        <v>798</v>
      </c>
      <c r="D247" s="229"/>
      <c r="E247" s="229"/>
      <c r="F247" s="215">
        <v>0</v>
      </c>
      <c r="G247" s="215">
        <v>0</v>
      </c>
      <c r="H247" s="236">
        <f>+F247-G247</f>
        <v>0</v>
      </c>
      <c r="I247" s="237">
        <f>IF(G247&lt;0,IF(H247=0,0,IF(OR(G247=0,F247=0),"N.M.",IF(ABS(H247/G247)&gt;=10,"N.M.",H247/(-G247)))),IF(H247=0,0,IF(OR(G247=0,F247=0),"N.M.",IF(ABS(H247/G247)&gt;=10,"N.M.",H247/G247))))</f>
        <v>0</v>
      </c>
      <c r="J247" s="231"/>
      <c r="K247" s="215">
        <v>0</v>
      </c>
      <c r="L247" s="215">
        <v>0</v>
      </c>
      <c r="M247" s="236">
        <f>+K247-L247</f>
        <v>0</v>
      </c>
      <c r="N247" s="232">
        <f>IF(L247&lt;0,IF(M247=0,0,IF(OR(L247=0,K247=0),"N.M.",IF(ABS(M247/L247)&gt;=10,"N.M.",M247/(-L247)))),IF(M247=0,0,IF(OR(L247=0,K247=0),"N.M.",IF(ABS(M247/L247)&gt;=10,"N.M.",M247/L247))))</f>
        <v>0</v>
      </c>
      <c r="O247" s="233"/>
      <c r="P247" s="233"/>
      <c r="Q247" s="215">
        <v>0</v>
      </c>
      <c r="R247" s="215">
        <v>0</v>
      </c>
      <c r="S247" s="236">
        <f>+Q247-R247</f>
        <v>0</v>
      </c>
      <c r="T247" s="237">
        <f>IF(R247&lt;0,IF(S247=0,0,IF(OR(R247=0,Q247=0),"N.M.",IF(ABS(S247/R247)&gt;=10,"N.M.",S247/(-R247)))),IF(S247=0,0,IF(OR(R247=0,Q247=0),"N.M.",IF(ABS(S247/R247)&gt;=10,"N.M.",S247/R247))))</f>
        <v>0</v>
      </c>
      <c r="U247" s="233"/>
      <c r="V247" s="215">
        <v>0</v>
      </c>
      <c r="W247" s="215">
        <v>0</v>
      </c>
      <c r="X247" s="236">
        <f>+V247-W247</f>
        <v>0</v>
      </c>
      <c r="Y247" s="232">
        <f>IF(W247&lt;0,IF(X247=0,0,IF(OR(W247=0,V247=0),"N.M.",IF(ABS(X247/W247)&gt;=10,"N.M.",X247/(-W247)))),IF(X247=0,0,IF(OR(W247=0,V247=0),"N.M.",IF(ABS(X247/W247)&gt;=10,"N.M.",X247/W247))))</f>
        <v>0</v>
      </c>
      <c r="AA247" s="215">
        <v>0</v>
      </c>
      <c r="AB247" s="235"/>
      <c r="AC247" s="215">
        <v>0</v>
      </c>
      <c r="AD247" s="215">
        <v>0</v>
      </c>
      <c r="AE247" s="215">
        <v>0</v>
      </c>
      <c r="AF247" s="215">
        <v>0</v>
      </c>
      <c r="AG247" s="215">
        <v>0</v>
      </c>
      <c r="AH247" s="215">
        <v>0</v>
      </c>
      <c r="AI247" s="215">
        <v>0</v>
      </c>
      <c r="AJ247" s="215">
        <v>0</v>
      </c>
      <c r="AK247" s="215">
        <v>0</v>
      </c>
      <c r="AL247" s="215">
        <v>0</v>
      </c>
      <c r="AM247" s="215">
        <v>0</v>
      </c>
      <c r="AN247" s="215">
        <v>0</v>
      </c>
      <c r="AO247" s="235"/>
      <c r="AP247" s="215">
        <v>0</v>
      </c>
      <c r="AQ247" s="215">
        <v>0</v>
      </c>
      <c r="AR247" s="215">
        <v>0</v>
      </c>
      <c r="AS247" s="215">
        <v>0</v>
      </c>
      <c r="AT247" s="215">
        <v>0</v>
      </c>
      <c r="AU247" s="215">
        <v>0</v>
      </c>
      <c r="AV247" s="215">
        <v>0</v>
      </c>
      <c r="AW247" s="215">
        <v>0</v>
      </c>
      <c r="AX247" s="215">
        <v>0</v>
      </c>
      <c r="AY247" s="215">
        <v>0</v>
      </c>
      <c r="AZ247" s="215">
        <v>0</v>
      </c>
      <c r="BA247" s="215">
        <v>0</v>
      </c>
    </row>
    <row r="248" spans="1:53" s="211" customFormat="1" ht="0.75" customHeight="1" outlineLevel="2" x14ac:dyDescent="0.25">
      <c r="B248" s="212"/>
      <c r="C248" s="213"/>
      <c r="D248" s="229"/>
      <c r="E248" s="229"/>
      <c r="F248" s="215"/>
      <c r="G248" s="215"/>
      <c r="H248" s="236"/>
      <c r="I248" s="237"/>
      <c r="J248" s="231"/>
      <c r="K248" s="215"/>
      <c r="L248" s="215"/>
      <c r="M248" s="236"/>
      <c r="N248" s="232"/>
      <c r="O248" s="233"/>
      <c r="P248" s="233"/>
      <c r="Q248" s="215"/>
      <c r="R248" s="215"/>
      <c r="S248" s="236"/>
      <c r="T248" s="237"/>
      <c r="U248" s="233"/>
      <c r="V248" s="215"/>
      <c r="W248" s="215"/>
      <c r="X248" s="236"/>
      <c r="Y248" s="232"/>
      <c r="AA248" s="215"/>
      <c r="AB248" s="235"/>
      <c r="AC248" s="215"/>
      <c r="AD248" s="215"/>
      <c r="AE248" s="215"/>
      <c r="AF248" s="215"/>
      <c r="AG248" s="215"/>
      <c r="AH248" s="215"/>
      <c r="AI248" s="215"/>
      <c r="AJ248" s="215"/>
      <c r="AK248" s="215"/>
      <c r="AL248" s="215"/>
      <c r="AM248" s="215"/>
      <c r="AN248" s="215"/>
      <c r="AO248" s="23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</row>
    <row r="249" spans="1:53" s="138" customFormat="1" outlineLevel="2" x14ac:dyDescent="0.25">
      <c r="A249" s="138" t="s">
        <v>799</v>
      </c>
      <c r="B249" s="139" t="s">
        <v>800</v>
      </c>
      <c r="C249" s="140" t="s">
        <v>801</v>
      </c>
      <c r="D249" s="141"/>
      <c r="E249" s="142"/>
      <c r="F249" s="143">
        <v>15032.66</v>
      </c>
      <c r="G249" s="143">
        <v>17265.900000000001</v>
      </c>
      <c r="H249" s="144">
        <f t="shared" ref="H249:H266" si="58">+F249-G249</f>
        <v>-2233.2400000000016</v>
      </c>
      <c r="I249" s="145">
        <f t="shared" ref="I249:I266" si="59">IF(G249&lt;0,IF(H249=0,0,IF(OR(G249=0,F249=0),"N.M.",IF(ABS(H249/G249)&gt;=10,"N.M.",H249/(-G249)))),IF(H249=0,0,IF(OR(G249=0,F249=0),"N.M.",IF(ABS(H249/G249)&gt;=10,"N.M.",H249/G249))))</f>
        <v>-0.1293439670101183</v>
      </c>
      <c r="J249" s="146"/>
      <c r="K249" s="143">
        <v>30467.06</v>
      </c>
      <c r="L249" s="143">
        <v>34816.18</v>
      </c>
      <c r="M249" s="144">
        <f t="shared" ref="M249:M266" si="60">+K249-L249</f>
        <v>-4349.119999999999</v>
      </c>
      <c r="N249" s="145">
        <f t="shared" ref="N249:N266" si="61">IF(L249&lt;0,IF(M249=0,0,IF(OR(L249=0,K249=0),"N.M.",IF(ABS(M249/L249)&gt;=10,"N.M.",M249/(-L249)))),IF(M249=0,0,IF(OR(L249=0,K249=0),"N.M.",IF(ABS(M249/L249)&gt;=10,"N.M.",M249/L249))))</f>
        <v>-0.12491663358817651</v>
      </c>
      <c r="O249" s="147"/>
      <c r="P249" s="146"/>
      <c r="Q249" s="143">
        <v>54919.15</v>
      </c>
      <c r="R249" s="143">
        <v>46401.96</v>
      </c>
      <c r="S249" s="144">
        <f t="shared" ref="S249:S266" si="62">+Q249-R249</f>
        <v>8517.1900000000023</v>
      </c>
      <c r="T249" s="145">
        <f t="shared" ref="T249:T266" si="63">IF(R249&lt;0,IF(S249=0,0,IF(OR(R249=0,Q249=0),"N.M.",IF(ABS(S249/R249)&gt;=10,"N.M.",S249/(-R249)))),IF(S249=0,0,IF(OR(R249=0,Q249=0),"N.M.",IF(ABS(S249/R249)&gt;=10,"N.M.",S249/R249))))</f>
        <v>0.1835523758048152</v>
      </c>
      <c r="U249" s="146"/>
      <c r="V249" s="143">
        <v>202238.21</v>
      </c>
      <c r="W249" s="143">
        <v>230808.93</v>
      </c>
      <c r="X249" s="144">
        <f t="shared" ref="X249:X266" si="64">+V249-W249</f>
        <v>-28570.720000000001</v>
      </c>
      <c r="Y249" s="145">
        <f t="shared" ref="Y249:Y266" si="65">IF(W249&lt;0,IF(X249=0,0,IF(OR(W249=0,V249=0),"N.M.",IF(ABS(X249/W249)&gt;=10,"N.M.",X249/(-W249)))),IF(X249=0,0,IF(OR(W249=0,V249=0),"N.M.",IF(ABS(X249/W249)&gt;=10,"N.M.",X249/W249))))</f>
        <v>-0.12378515857250412</v>
      </c>
      <c r="Z249" s="148"/>
      <c r="AA249" s="149">
        <v>11585.78</v>
      </c>
      <c r="AB249" s="150"/>
      <c r="AC249" s="117">
        <v>17550.28</v>
      </c>
      <c r="AD249" s="117">
        <v>17265.900000000001</v>
      </c>
      <c r="AE249" s="117">
        <v>26691.25</v>
      </c>
      <c r="AF249" s="117">
        <v>29741.91</v>
      </c>
      <c r="AG249" s="117">
        <v>15648.550000000001</v>
      </c>
      <c r="AH249" s="117">
        <v>10057.6</v>
      </c>
      <c r="AI249" s="117">
        <v>11931.53</v>
      </c>
      <c r="AJ249" s="117">
        <v>11664.62</v>
      </c>
      <c r="AK249" s="117">
        <v>16426.84</v>
      </c>
      <c r="AL249" s="117">
        <v>12584.7</v>
      </c>
      <c r="AM249" s="117">
        <v>12572.06</v>
      </c>
      <c r="AN249" s="117">
        <v>24452.09</v>
      </c>
      <c r="AO249" s="150"/>
      <c r="AP249" s="117">
        <v>15434.4</v>
      </c>
      <c r="AQ249" s="117">
        <v>15032.66</v>
      </c>
      <c r="AR249" s="117">
        <v>-862.41</v>
      </c>
      <c r="AS249" s="117">
        <v>0</v>
      </c>
      <c r="AT249" s="117">
        <v>0</v>
      </c>
      <c r="AU249" s="117">
        <v>0</v>
      </c>
      <c r="AV249" s="117">
        <v>0</v>
      </c>
      <c r="AW249" s="117">
        <v>0</v>
      </c>
      <c r="AX249" s="117">
        <v>0</v>
      </c>
      <c r="AY249" s="117">
        <v>0</v>
      </c>
      <c r="AZ249" s="117">
        <v>0</v>
      </c>
      <c r="BA249" s="117">
        <v>0</v>
      </c>
    </row>
    <row r="250" spans="1:53" s="138" customFormat="1" outlineLevel="2" x14ac:dyDescent="0.25">
      <c r="A250" s="138" t="s">
        <v>802</v>
      </c>
      <c r="B250" s="139" t="s">
        <v>803</v>
      </c>
      <c r="C250" s="140" t="s">
        <v>804</v>
      </c>
      <c r="D250" s="141"/>
      <c r="E250" s="142"/>
      <c r="F250" s="143">
        <v>-214.17000000000002</v>
      </c>
      <c r="G250" s="143">
        <v>4092.03</v>
      </c>
      <c r="H250" s="144">
        <f t="shared" si="58"/>
        <v>-4306.2</v>
      </c>
      <c r="I250" s="145">
        <f t="shared" si="59"/>
        <v>-1.052338325965352</v>
      </c>
      <c r="J250" s="146"/>
      <c r="K250" s="143">
        <v>3884.31</v>
      </c>
      <c r="L250" s="143">
        <v>7063.41</v>
      </c>
      <c r="M250" s="144">
        <f t="shared" si="60"/>
        <v>-3179.1</v>
      </c>
      <c r="N250" s="145">
        <f t="shared" si="61"/>
        <v>-0.45008006048070265</v>
      </c>
      <c r="O250" s="147"/>
      <c r="P250" s="146"/>
      <c r="Q250" s="143">
        <v>-11840.720000000001</v>
      </c>
      <c r="R250" s="143">
        <v>542.84000000000015</v>
      </c>
      <c r="S250" s="144">
        <f t="shared" si="62"/>
        <v>-12383.560000000001</v>
      </c>
      <c r="T250" s="145" t="str">
        <f t="shared" si="63"/>
        <v>N.M.</v>
      </c>
      <c r="U250" s="146"/>
      <c r="V250" s="143">
        <v>-25232.95</v>
      </c>
      <c r="W250" s="143">
        <v>21869.75</v>
      </c>
      <c r="X250" s="144">
        <f t="shared" si="64"/>
        <v>-47102.7</v>
      </c>
      <c r="Y250" s="145">
        <f t="shared" si="65"/>
        <v>-2.153783193680769</v>
      </c>
      <c r="Z250" s="148"/>
      <c r="AA250" s="149">
        <v>-6520.57</v>
      </c>
      <c r="AB250" s="150"/>
      <c r="AC250" s="117">
        <v>2971.38</v>
      </c>
      <c r="AD250" s="117">
        <v>4092.03</v>
      </c>
      <c r="AE250" s="117">
        <v>-9825.23</v>
      </c>
      <c r="AF250" s="117">
        <v>-5550.77</v>
      </c>
      <c r="AG250" s="117">
        <v>-1949.6000000000001</v>
      </c>
      <c r="AH250" s="117">
        <v>397.83</v>
      </c>
      <c r="AI250" s="117">
        <v>8125.8600000000006</v>
      </c>
      <c r="AJ250" s="117">
        <v>-4498.5200000000004</v>
      </c>
      <c r="AK250" s="117">
        <v>-1750.6100000000001</v>
      </c>
      <c r="AL250" s="117">
        <v>-759.39</v>
      </c>
      <c r="AM250" s="117">
        <v>2418.2000000000003</v>
      </c>
      <c r="AN250" s="117">
        <v>-15725.03</v>
      </c>
      <c r="AO250" s="150"/>
      <c r="AP250" s="117">
        <v>4098.4800000000005</v>
      </c>
      <c r="AQ250" s="117">
        <v>-214.17000000000002</v>
      </c>
      <c r="AR250" s="117">
        <v>-97.960000000000008</v>
      </c>
      <c r="AS250" s="117">
        <v>0</v>
      </c>
      <c r="AT250" s="117">
        <v>0</v>
      </c>
      <c r="AU250" s="117">
        <v>0</v>
      </c>
      <c r="AV250" s="117">
        <v>0</v>
      </c>
      <c r="AW250" s="117">
        <v>0</v>
      </c>
      <c r="AX250" s="117">
        <v>0</v>
      </c>
      <c r="AY250" s="117">
        <v>0</v>
      </c>
      <c r="AZ250" s="117">
        <v>0</v>
      </c>
      <c r="BA250" s="117">
        <v>0</v>
      </c>
    </row>
    <row r="251" spans="1:53" s="138" customFormat="1" outlineLevel="2" x14ac:dyDescent="0.25">
      <c r="A251" s="138" t="s">
        <v>805</v>
      </c>
      <c r="B251" s="139" t="s">
        <v>806</v>
      </c>
      <c r="C251" s="140" t="s">
        <v>807</v>
      </c>
      <c r="D251" s="141"/>
      <c r="E251" s="142"/>
      <c r="F251" s="143">
        <v>0</v>
      </c>
      <c r="G251" s="143">
        <v>0</v>
      </c>
      <c r="H251" s="144">
        <f t="shared" si="58"/>
        <v>0</v>
      </c>
      <c r="I251" s="145">
        <f t="shared" si="59"/>
        <v>0</v>
      </c>
      <c r="J251" s="146"/>
      <c r="K251" s="143">
        <v>0</v>
      </c>
      <c r="L251" s="143">
        <v>0</v>
      </c>
      <c r="M251" s="144">
        <f t="shared" si="60"/>
        <v>0</v>
      </c>
      <c r="N251" s="145">
        <f t="shared" si="61"/>
        <v>0</v>
      </c>
      <c r="O251" s="147"/>
      <c r="P251" s="146"/>
      <c r="Q251" s="143">
        <v>0</v>
      </c>
      <c r="R251" s="143">
        <v>0</v>
      </c>
      <c r="S251" s="144">
        <f t="shared" si="62"/>
        <v>0</v>
      </c>
      <c r="T251" s="145">
        <f t="shared" si="63"/>
        <v>0</v>
      </c>
      <c r="U251" s="146"/>
      <c r="V251" s="143">
        <v>0</v>
      </c>
      <c r="W251" s="143">
        <v>3.85</v>
      </c>
      <c r="X251" s="144">
        <f t="shared" si="64"/>
        <v>-3.85</v>
      </c>
      <c r="Y251" s="145" t="str">
        <f t="shared" si="65"/>
        <v>N.M.</v>
      </c>
      <c r="Z251" s="148"/>
      <c r="AA251" s="149">
        <v>0</v>
      </c>
      <c r="AB251" s="150"/>
      <c r="AC251" s="117">
        <v>0</v>
      </c>
      <c r="AD251" s="117">
        <v>0</v>
      </c>
      <c r="AE251" s="117">
        <v>0</v>
      </c>
      <c r="AF251" s="117">
        <v>0</v>
      </c>
      <c r="AG251" s="117">
        <v>0</v>
      </c>
      <c r="AH251" s="117">
        <v>0</v>
      </c>
      <c r="AI251" s="117">
        <v>0</v>
      </c>
      <c r="AJ251" s="117">
        <v>0</v>
      </c>
      <c r="AK251" s="117">
        <v>0</v>
      </c>
      <c r="AL251" s="117">
        <v>0</v>
      </c>
      <c r="AM251" s="117">
        <v>0</v>
      </c>
      <c r="AN251" s="117">
        <v>0</v>
      </c>
      <c r="AO251" s="150"/>
      <c r="AP251" s="117">
        <v>0</v>
      </c>
      <c r="AQ251" s="117">
        <v>0</v>
      </c>
      <c r="AR251" s="117">
        <v>0</v>
      </c>
      <c r="AS251" s="117">
        <v>0</v>
      </c>
      <c r="AT251" s="117">
        <v>0</v>
      </c>
      <c r="AU251" s="117">
        <v>0</v>
      </c>
      <c r="AV251" s="117">
        <v>0</v>
      </c>
      <c r="AW251" s="117">
        <v>0</v>
      </c>
      <c r="AX251" s="117">
        <v>0</v>
      </c>
      <c r="AY251" s="117">
        <v>0</v>
      </c>
      <c r="AZ251" s="117">
        <v>0</v>
      </c>
      <c r="BA251" s="117">
        <v>0</v>
      </c>
    </row>
    <row r="252" spans="1:53" s="138" customFormat="1" outlineLevel="2" x14ac:dyDescent="0.25">
      <c r="A252" s="138" t="s">
        <v>808</v>
      </c>
      <c r="B252" s="139" t="s">
        <v>809</v>
      </c>
      <c r="C252" s="140" t="s">
        <v>810</v>
      </c>
      <c r="D252" s="141"/>
      <c r="E252" s="142"/>
      <c r="F252" s="143">
        <v>27742.420000000002</v>
      </c>
      <c r="G252" s="143">
        <v>41755.840000000004</v>
      </c>
      <c r="H252" s="144">
        <f t="shared" si="58"/>
        <v>-14013.420000000002</v>
      </c>
      <c r="I252" s="145">
        <f t="shared" si="59"/>
        <v>-0.33560383409841593</v>
      </c>
      <c r="J252" s="146"/>
      <c r="K252" s="143">
        <v>59439</v>
      </c>
      <c r="L252" s="143">
        <v>73817.710000000006</v>
      </c>
      <c r="M252" s="144">
        <f t="shared" si="60"/>
        <v>-14378.710000000006</v>
      </c>
      <c r="N252" s="145">
        <f t="shared" si="61"/>
        <v>-0.19478672529938962</v>
      </c>
      <c r="O252" s="147"/>
      <c r="P252" s="146"/>
      <c r="Q252" s="143">
        <v>91521.53</v>
      </c>
      <c r="R252" s="143">
        <v>99683.840000000011</v>
      </c>
      <c r="S252" s="144">
        <f t="shared" si="62"/>
        <v>-8162.3100000000122</v>
      </c>
      <c r="T252" s="145">
        <f t="shared" si="63"/>
        <v>-8.188197806184043E-2</v>
      </c>
      <c r="U252" s="146"/>
      <c r="V252" s="143">
        <v>339086.01</v>
      </c>
      <c r="W252" s="143">
        <v>433893.96</v>
      </c>
      <c r="X252" s="144">
        <f t="shared" si="64"/>
        <v>-94807.950000000012</v>
      </c>
      <c r="Y252" s="145">
        <f t="shared" si="65"/>
        <v>-0.21850488538720383</v>
      </c>
      <c r="Z252" s="148"/>
      <c r="AA252" s="149">
        <v>25866.13</v>
      </c>
      <c r="AB252" s="150"/>
      <c r="AC252" s="117">
        <v>32061.87</v>
      </c>
      <c r="AD252" s="117">
        <v>41755.840000000004</v>
      </c>
      <c r="AE252" s="117">
        <v>29884.91</v>
      </c>
      <c r="AF252" s="117">
        <v>25061.56</v>
      </c>
      <c r="AG252" s="117">
        <v>23016.36</v>
      </c>
      <c r="AH252" s="117">
        <v>30892.940000000002</v>
      </c>
      <c r="AI252" s="117">
        <v>23925.61</v>
      </c>
      <c r="AJ252" s="117">
        <v>31376.510000000002</v>
      </c>
      <c r="AK252" s="117">
        <v>29929.16</v>
      </c>
      <c r="AL252" s="117">
        <v>28872.43</v>
      </c>
      <c r="AM252" s="117">
        <v>24605</v>
      </c>
      <c r="AN252" s="117">
        <v>32082.530000000002</v>
      </c>
      <c r="AO252" s="150"/>
      <c r="AP252" s="117">
        <v>31696.58</v>
      </c>
      <c r="AQ252" s="117">
        <v>27742.420000000002</v>
      </c>
      <c r="AR252" s="117">
        <v>1878.14</v>
      </c>
      <c r="AS252" s="117">
        <v>0</v>
      </c>
      <c r="AT252" s="117">
        <v>0</v>
      </c>
      <c r="AU252" s="117">
        <v>0</v>
      </c>
      <c r="AV252" s="117">
        <v>0</v>
      </c>
      <c r="AW252" s="117">
        <v>0</v>
      </c>
      <c r="AX252" s="117">
        <v>0</v>
      </c>
      <c r="AY252" s="117">
        <v>0</v>
      </c>
      <c r="AZ252" s="117">
        <v>0</v>
      </c>
      <c r="BA252" s="117">
        <v>0</v>
      </c>
    </row>
    <row r="253" spans="1:53" s="138" customFormat="1" outlineLevel="2" x14ac:dyDescent="0.25">
      <c r="A253" s="138" t="s">
        <v>811</v>
      </c>
      <c r="B253" s="139" t="s">
        <v>812</v>
      </c>
      <c r="C253" s="140" t="s">
        <v>813</v>
      </c>
      <c r="D253" s="141"/>
      <c r="E253" s="142"/>
      <c r="F253" s="143">
        <v>4603.8100000000004</v>
      </c>
      <c r="G253" s="143">
        <v>4275.04</v>
      </c>
      <c r="H253" s="144">
        <f t="shared" si="58"/>
        <v>328.77000000000044</v>
      </c>
      <c r="I253" s="145">
        <f t="shared" si="59"/>
        <v>7.6904543583218035E-2</v>
      </c>
      <c r="J253" s="146"/>
      <c r="K253" s="143">
        <v>9184.01</v>
      </c>
      <c r="L253" s="143">
        <v>10936.34</v>
      </c>
      <c r="M253" s="144">
        <f t="shared" si="60"/>
        <v>-1752.33</v>
      </c>
      <c r="N253" s="145">
        <f t="shared" si="61"/>
        <v>-0.16023002210977347</v>
      </c>
      <c r="O253" s="147"/>
      <c r="P253" s="146"/>
      <c r="Q253" s="143">
        <v>15490.34</v>
      </c>
      <c r="R253" s="143">
        <v>15232.48</v>
      </c>
      <c r="S253" s="144">
        <f t="shared" si="62"/>
        <v>257.86000000000058</v>
      </c>
      <c r="T253" s="145">
        <f t="shared" si="63"/>
        <v>1.6928300578763312E-2</v>
      </c>
      <c r="U253" s="146"/>
      <c r="V253" s="143">
        <v>53640.520000000004</v>
      </c>
      <c r="W253" s="143">
        <v>60781.7</v>
      </c>
      <c r="X253" s="144">
        <f t="shared" si="64"/>
        <v>-7141.179999999993</v>
      </c>
      <c r="Y253" s="145">
        <f t="shared" si="65"/>
        <v>-0.11748898105844346</v>
      </c>
      <c r="Z253" s="148"/>
      <c r="AA253" s="149">
        <v>4296.1400000000003</v>
      </c>
      <c r="AB253" s="150"/>
      <c r="AC253" s="117">
        <v>6661.3</v>
      </c>
      <c r="AD253" s="117">
        <v>4275.04</v>
      </c>
      <c r="AE253" s="117">
        <v>4391.12</v>
      </c>
      <c r="AF253" s="117">
        <v>4463.8599999999997</v>
      </c>
      <c r="AG253" s="117">
        <v>4138.9800000000005</v>
      </c>
      <c r="AH253" s="117">
        <v>4164.3900000000003</v>
      </c>
      <c r="AI253" s="117">
        <v>4040.94</v>
      </c>
      <c r="AJ253" s="117">
        <v>3997.6</v>
      </c>
      <c r="AK253" s="117">
        <v>3874.48</v>
      </c>
      <c r="AL253" s="117">
        <v>4720.91</v>
      </c>
      <c r="AM253" s="117">
        <v>4357.8999999999996</v>
      </c>
      <c r="AN253" s="117">
        <v>6306.33</v>
      </c>
      <c r="AO253" s="150"/>
      <c r="AP253" s="117">
        <v>4580.2</v>
      </c>
      <c r="AQ253" s="117">
        <v>4603.8100000000004</v>
      </c>
      <c r="AR253" s="117">
        <v>-44.31</v>
      </c>
      <c r="AS253" s="117">
        <v>0</v>
      </c>
      <c r="AT253" s="117">
        <v>0</v>
      </c>
      <c r="AU253" s="117">
        <v>0</v>
      </c>
      <c r="AV253" s="117">
        <v>0</v>
      </c>
      <c r="AW253" s="117">
        <v>0</v>
      </c>
      <c r="AX253" s="117">
        <v>0</v>
      </c>
      <c r="AY253" s="117">
        <v>0</v>
      </c>
      <c r="AZ253" s="117">
        <v>0</v>
      </c>
      <c r="BA253" s="117">
        <v>0</v>
      </c>
    </row>
    <row r="254" spans="1:53" s="138" customFormat="1" outlineLevel="2" x14ac:dyDescent="0.25">
      <c r="A254" s="138" t="s">
        <v>814</v>
      </c>
      <c r="B254" s="139" t="s">
        <v>815</v>
      </c>
      <c r="C254" s="140" t="s">
        <v>816</v>
      </c>
      <c r="D254" s="141"/>
      <c r="E254" s="142"/>
      <c r="F254" s="143">
        <v>0</v>
      </c>
      <c r="G254" s="143">
        <v>0</v>
      </c>
      <c r="H254" s="144">
        <f t="shared" si="58"/>
        <v>0</v>
      </c>
      <c r="I254" s="145">
        <f t="shared" si="59"/>
        <v>0</v>
      </c>
      <c r="J254" s="146"/>
      <c r="K254" s="143">
        <v>0</v>
      </c>
      <c r="L254" s="143">
        <v>0</v>
      </c>
      <c r="M254" s="144">
        <f t="shared" si="60"/>
        <v>0</v>
      </c>
      <c r="N254" s="145">
        <f t="shared" si="61"/>
        <v>0</v>
      </c>
      <c r="O254" s="147"/>
      <c r="P254" s="146"/>
      <c r="Q254" s="143">
        <v>0</v>
      </c>
      <c r="R254" s="143">
        <v>-31.82</v>
      </c>
      <c r="S254" s="144">
        <f t="shared" si="62"/>
        <v>31.82</v>
      </c>
      <c r="T254" s="145" t="str">
        <f t="shared" si="63"/>
        <v>N.M.</v>
      </c>
      <c r="U254" s="146"/>
      <c r="V254" s="143">
        <v>0</v>
      </c>
      <c r="W254" s="143">
        <v>35583.53</v>
      </c>
      <c r="X254" s="144">
        <f t="shared" si="64"/>
        <v>-35583.53</v>
      </c>
      <c r="Y254" s="145" t="str">
        <f t="shared" si="65"/>
        <v>N.M.</v>
      </c>
      <c r="Z254" s="148"/>
      <c r="AA254" s="149">
        <v>-31.82</v>
      </c>
      <c r="AB254" s="150"/>
      <c r="AC254" s="117">
        <v>0</v>
      </c>
      <c r="AD254" s="117">
        <v>0</v>
      </c>
      <c r="AE254" s="117">
        <v>0</v>
      </c>
      <c r="AF254" s="117">
        <v>0</v>
      </c>
      <c r="AG254" s="117">
        <v>0</v>
      </c>
      <c r="AH254" s="117">
        <v>0</v>
      </c>
      <c r="AI254" s="117">
        <v>0</v>
      </c>
      <c r="AJ254" s="117">
        <v>0</v>
      </c>
      <c r="AK254" s="117">
        <v>0</v>
      </c>
      <c r="AL254" s="117">
        <v>0</v>
      </c>
      <c r="AM254" s="117">
        <v>0</v>
      </c>
      <c r="AN254" s="117">
        <v>0</v>
      </c>
      <c r="AO254" s="150"/>
      <c r="AP254" s="117">
        <v>0</v>
      </c>
      <c r="AQ254" s="117">
        <v>0</v>
      </c>
      <c r="AR254" s="117">
        <v>0</v>
      </c>
      <c r="AS254" s="117">
        <v>0</v>
      </c>
      <c r="AT254" s="117">
        <v>0</v>
      </c>
      <c r="AU254" s="117">
        <v>0</v>
      </c>
      <c r="AV254" s="117">
        <v>0</v>
      </c>
      <c r="AW254" s="117">
        <v>0</v>
      </c>
      <c r="AX254" s="117">
        <v>0</v>
      </c>
      <c r="AY254" s="117">
        <v>0</v>
      </c>
      <c r="AZ254" s="117">
        <v>0</v>
      </c>
      <c r="BA254" s="117">
        <v>0</v>
      </c>
    </row>
    <row r="255" spans="1:53" s="138" customFormat="1" outlineLevel="2" x14ac:dyDescent="0.25">
      <c r="A255" s="138" t="s">
        <v>817</v>
      </c>
      <c r="B255" s="139" t="s">
        <v>818</v>
      </c>
      <c r="C255" s="140" t="s">
        <v>819</v>
      </c>
      <c r="D255" s="141"/>
      <c r="E255" s="142"/>
      <c r="F255" s="143">
        <v>31576.16</v>
      </c>
      <c r="G255" s="143">
        <v>23276.71</v>
      </c>
      <c r="H255" s="144">
        <f t="shared" si="58"/>
        <v>8299.4500000000007</v>
      </c>
      <c r="I255" s="145">
        <f t="shared" si="59"/>
        <v>0.35655597376089665</v>
      </c>
      <c r="J255" s="146"/>
      <c r="K255" s="143">
        <v>64130.8</v>
      </c>
      <c r="L255" s="143">
        <v>49181.08</v>
      </c>
      <c r="M255" s="144">
        <f t="shared" si="60"/>
        <v>14949.720000000001</v>
      </c>
      <c r="N255" s="145">
        <f t="shared" si="61"/>
        <v>0.30397299123972066</v>
      </c>
      <c r="O255" s="147"/>
      <c r="P255" s="146"/>
      <c r="Q255" s="143">
        <v>99868.63</v>
      </c>
      <c r="R255" s="143">
        <v>76134.070000000007</v>
      </c>
      <c r="S255" s="144">
        <f t="shared" si="62"/>
        <v>23734.559999999998</v>
      </c>
      <c r="T255" s="145">
        <f t="shared" si="63"/>
        <v>0.31174689596917643</v>
      </c>
      <c r="U255" s="146"/>
      <c r="V255" s="143">
        <v>345967.73</v>
      </c>
      <c r="W255" s="143">
        <v>316575.96000000002</v>
      </c>
      <c r="X255" s="144">
        <f t="shared" si="64"/>
        <v>29391.76999999996</v>
      </c>
      <c r="Y255" s="145">
        <f t="shared" si="65"/>
        <v>9.2842709850741542E-2</v>
      </c>
      <c r="Z255" s="148"/>
      <c r="AA255" s="149">
        <v>26952.99</v>
      </c>
      <c r="AB255" s="150"/>
      <c r="AC255" s="117">
        <v>25904.37</v>
      </c>
      <c r="AD255" s="117">
        <v>23276.71</v>
      </c>
      <c r="AE255" s="117">
        <v>35021.31</v>
      </c>
      <c r="AF255" s="117">
        <v>26529.27</v>
      </c>
      <c r="AG255" s="117">
        <v>25802.66</v>
      </c>
      <c r="AH255" s="117">
        <v>23925.010000000002</v>
      </c>
      <c r="AI255" s="117">
        <v>23011.600000000002</v>
      </c>
      <c r="AJ255" s="117">
        <v>26534.97</v>
      </c>
      <c r="AK255" s="117">
        <v>28863.02</v>
      </c>
      <c r="AL255" s="117">
        <v>29342.9</v>
      </c>
      <c r="AM255" s="117">
        <v>27068.36</v>
      </c>
      <c r="AN255" s="117">
        <v>35737.83</v>
      </c>
      <c r="AO255" s="150"/>
      <c r="AP255" s="117">
        <v>32554.639999999999</v>
      </c>
      <c r="AQ255" s="117">
        <v>31576.16</v>
      </c>
      <c r="AR255" s="117">
        <v>-663.34</v>
      </c>
      <c r="AS255" s="117">
        <v>0</v>
      </c>
      <c r="AT255" s="117">
        <v>0</v>
      </c>
      <c r="AU255" s="117">
        <v>0</v>
      </c>
      <c r="AV255" s="117">
        <v>0</v>
      </c>
      <c r="AW255" s="117">
        <v>0</v>
      </c>
      <c r="AX255" s="117">
        <v>0</v>
      </c>
      <c r="AY255" s="117">
        <v>0</v>
      </c>
      <c r="AZ255" s="117">
        <v>0</v>
      </c>
      <c r="BA255" s="117">
        <v>0</v>
      </c>
    </row>
    <row r="256" spans="1:53" s="138" customFormat="1" outlineLevel="2" x14ac:dyDescent="0.25">
      <c r="A256" s="138" t="s">
        <v>820</v>
      </c>
      <c r="B256" s="139" t="s">
        <v>821</v>
      </c>
      <c r="C256" s="140" t="s">
        <v>822</v>
      </c>
      <c r="D256" s="141"/>
      <c r="E256" s="142"/>
      <c r="F256" s="143">
        <v>231381.29</v>
      </c>
      <c r="G256" s="143">
        <v>185270.17</v>
      </c>
      <c r="H256" s="144">
        <f t="shared" si="58"/>
        <v>46111.119999999995</v>
      </c>
      <c r="I256" s="145">
        <f t="shared" si="59"/>
        <v>0.24888582981275395</v>
      </c>
      <c r="J256" s="146"/>
      <c r="K256" s="143">
        <v>448673.29000000004</v>
      </c>
      <c r="L256" s="143">
        <v>350518.23</v>
      </c>
      <c r="M256" s="144">
        <f t="shared" si="60"/>
        <v>98155.060000000056</v>
      </c>
      <c r="N256" s="145">
        <f t="shared" si="61"/>
        <v>0.28002840251703903</v>
      </c>
      <c r="O256" s="147"/>
      <c r="P256" s="146"/>
      <c r="Q256" s="143">
        <v>734463.79</v>
      </c>
      <c r="R256" s="143">
        <v>536657.75</v>
      </c>
      <c r="S256" s="144">
        <f t="shared" si="62"/>
        <v>197806.04000000004</v>
      </c>
      <c r="T256" s="145">
        <f t="shared" si="63"/>
        <v>0.3685888072985064</v>
      </c>
      <c r="U256" s="146"/>
      <c r="V256" s="143">
        <v>2573656.54</v>
      </c>
      <c r="W256" s="143">
        <v>2332568.2599999998</v>
      </c>
      <c r="X256" s="144">
        <f t="shared" si="64"/>
        <v>241088.28000000026</v>
      </c>
      <c r="Y256" s="145">
        <f t="shared" si="65"/>
        <v>0.10335743829421751</v>
      </c>
      <c r="Z256" s="148"/>
      <c r="AA256" s="149">
        <v>186139.51999999999</v>
      </c>
      <c r="AB256" s="150"/>
      <c r="AC256" s="117">
        <v>165248.06</v>
      </c>
      <c r="AD256" s="117">
        <v>185270.17</v>
      </c>
      <c r="AE256" s="117">
        <v>195922.75</v>
      </c>
      <c r="AF256" s="117">
        <v>205816.52000000002</v>
      </c>
      <c r="AG256" s="117">
        <v>178546.13</v>
      </c>
      <c r="AH256" s="117">
        <v>207573.47</v>
      </c>
      <c r="AI256" s="117">
        <v>218896.77000000002</v>
      </c>
      <c r="AJ256" s="117">
        <v>211437.06</v>
      </c>
      <c r="AK256" s="117">
        <v>222132.04</v>
      </c>
      <c r="AL256" s="117">
        <v>204950.21</v>
      </c>
      <c r="AM256" s="117">
        <v>193917.80000000002</v>
      </c>
      <c r="AN256" s="117">
        <v>285790.5</v>
      </c>
      <c r="AO256" s="150"/>
      <c r="AP256" s="117">
        <v>217292</v>
      </c>
      <c r="AQ256" s="117">
        <v>231381.29</v>
      </c>
      <c r="AR256" s="117">
        <v>234.93</v>
      </c>
      <c r="AS256" s="117">
        <v>0</v>
      </c>
      <c r="AT256" s="117">
        <v>0</v>
      </c>
      <c r="AU256" s="117">
        <v>0</v>
      </c>
      <c r="AV256" s="117">
        <v>0</v>
      </c>
      <c r="AW256" s="117">
        <v>0</v>
      </c>
      <c r="AX256" s="117">
        <v>0</v>
      </c>
      <c r="AY256" s="117">
        <v>0</v>
      </c>
      <c r="AZ256" s="117">
        <v>0</v>
      </c>
      <c r="BA256" s="117">
        <v>0</v>
      </c>
    </row>
    <row r="257" spans="1:53" s="138" customFormat="1" outlineLevel="2" x14ac:dyDescent="0.25">
      <c r="A257" s="138" t="s">
        <v>823</v>
      </c>
      <c r="B257" s="139" t="s">
        <v>824</v>
      </c>
      <c r="C257" s="140" t="s">
        <v>825</v>
      </c>
      <c r="D257" s="141"/>
      <c r="E257" s="142"/>
      <c r="F257" s="143">
        <v>2333.09</v>
      </c>
      <c r="G257" s="143">
        <v>2067.54</v>
      </c>
      <c r="H257" s="144">
        <f t="shared" si="58"/>
        <v>265.55000000000018</v>
      </c>
      <c r="I257" s="145">
        <f t="shared" si="59"/>
        <v>0.12843766021455458</v>
      </c>
      <c r="J257" s="146"/>
      <c r="K257" s="143">
        <v>3958.42</v>
      </c>
      <c r="L257" s="143">
        <v>3600.4900000000002</v>
      </c>
      <c r="M257" s="144">
        <f t="shared" si="60"/>
        <v>357.92999999999984</v>
      </c>
      <c r="N257" s="145">
        <f t="shared" si="61"/>
        <v>9.9411468994497917E-2</v>
      </c>
      <c r="O257" s="147"/>
      <c r="P257" s="146"/>
      <c r="Q257" s="143">
        <v>6752.7000000000007</v>
      </c>
      <c r="R257" s="143">
        <v>5562.91</v>
      </c>
      <c r="S257" s="144">
        <f t="shared" si="62"/>
        <v>1189.7900000000009</v>
      </c>
      <c r="T257" s="145">
        <f t="shared" si="63"/>
        <v>0.21387906689124953</v>
      </c>
      <c r="U257" s="146"/>
      <c r="V257" s="143">
        <v>23513.11</v>
      </c>
      <c r="W257" s="143">
        <v>26924.260000000002</v>
      </c>
      <c r="X257" s="144">
        <f t="shared" si="64"/>
        <v>-3411.1500000000015</v>
      </c>
      <c r="Y257" s="145">
        <f t="shared" si="65"/>
        <v>-0.1266942898337782</v>
      </c>
      <c r="Z257" s="148"/>
      <c r="AA257" s="149">
        <v>1962.42</v>
      </c>
      <c r="AB257" s="150"/>
      <c r="AC257" s="117">
        <v>1532.95</v>
      </c>
      <c r="AD257" s="117">
        <v>2067.54</v>
      </c>
      <c r="AE257" s="117">
        <v>2141.4</v>
      </c>
      <c r="AF257" s="117">
        <v>2635.65</v>
      </c>
      <c r="AG257" s="117">
        <v>1888.56</v>
      </c>
      <c r="AH257" s="117">
        <v>1644.95</v>
      </c>
      <c r="AI257" s="117">
        <v>1476.91</v>
      </c>
      <c r="AJ257" s="117">
        <v>1349.49</v>
      </c>
      <c r="AK257" s="117">
        <v>1694.6200000000001</v>
      </c>
      <c r="AL257" s="117">
        <v>2237.62</v>
      </c>
      <c r="AM257" s="117">
        <v>1691.21</v>
      </c>
      <c r="AN257" s="117">
        <v>2794.28</v>
      </c>
      <c r="AO257" s="150"/>
      <c r="AP257" s="117">
        <v>1625.33</v>
      </c>
      <c r="AQ257" s="117">
        <v>2333.09</v>
      </c>
      <c r="AR257" s="117">
        <v>0</v>
      </c>
      <c r="AS257" s="117">
        <v>0</v>
      </c>
      <c r="AT257" s="117">
        <v>0</v>
      </c>
      <c r="AU257" s="117">
        <v>0</v>
      </c>
      <c r="AV257" s="117">
        <v>0</v>
      </c>
      <c r="AW257" s="117">
        <v>0</v>
      </c>
      <c r="AX257" s="117">
        <v>0</v>
      </c>
      <c r="AY257" s="117">
        <v>0</v>
      </c>
      <c r="AZ257" s="117">
        <v>0</v>
      </c>
      <c r="BA257" s="117">
        <v>0</v>
      </c>
    </row>
    <row r="258" spans="1:53" s="138" customFormat="1" outlineLevel="2" x14ac:dyDescent="0.25">
      <c r="A258" s="138" t="s">
        <v>826</v>
      </c>
      <c r="B258" s="139" t="s">
        <v>827</v>
      </c>
      <c r="C258" s="140" t="s">
        <v>828</v>
      </c>
      <c r="D258" s="141"/>
      <c r="E258" s="142"/>
      <c r="F258" s="143">
        <v>33229.07</v>
      </c>
      <c r="G258" s="143">
        <v>76070.73</v>
      </c>
      <c r="H258" s="144">
        <f t="shared" si="58"/>
        <v>-42841.659999999996</v>
      </c>
      <c r="I258" s="145">
        <f t="shared" si="59"/>
        <v>-0.56318192292883218</v>
      </c>
      <c r="J258" s="146"/>
      <c r="K258" s="143">
        <v>97421.57</v>
      </c>
      <c r="L258" s="143">
        <v>132735.21</v>
      </c>
      <c r="M258" s="144">
        <f t="shared" si="60"/>
        <v>-35313.639999999985</v>
      </c>
      <c r="N258" s="145">
        <f t="shared" si="61"/>
        <v>-0.26604576133190272</v>
      </c>
      <c r="O258" s="147"/>
      <c r="P258" s="146"/>
      <c r="Q258" s="143">
        <v>161619.22</v>
      </c>
      <c r="R258" s="143">
        <v>195979.72</v>
      </c>
      <c r="S258" s="144">
        <f t="shared" si="62"/>
        <v>-34360.5</v>
      </c>
      <c r="T258" s="145">
        <f t="shared" si="63"/>
        <v>-0.17532681442753362</v>
      </c>
      <c r="U258" s="146"/>
      <c r="V258" s="143">
        <v>692324.66999999993</v>
      </c>
      <c r="W258" s="143">
        <v>780249.24</v>
      </c>
      <c r="X258" s="144">
        <f t="shared" si="64"/>
        <v>-87924.570000000065</v>
      </c>
      <c r="Y258" s="145">
        <f t="shared" si="65"/>
        <v>-0.11268779960618747</v>
      </c>
      <c r="Z258" s="148"/>
      <c r="AA258" s="149">
        <v>63244.51</v>
      </c>
      <c r="AB258" s="150"/>
      <c r="AC258" s="117">
        <v>56664.480000000003</v>
      </c>
      <c r="AD258" s="117">
        <v>76070.73</v>
      </c>
      <c r="AE258" s="117">
        <v>60263.19</v>
      </c>
      <c r="AF258" s="117">
        <v>59542.25</v>
      </c>
      <c r="AG258" s="117">
        <v>70461.45</v>
      </c>
      <c r="AH258" s="117">
        <v>37923.370000000003</v>
      </c>
      <c r="AI258" s="117">
        <v>39708.93</v>
      </c>
      <c r="AJ258" s="117">
        <v>69624.14</v>
      </c>
      <c r="AK258" s="117">
        <v>54807.69</v>
      </c>
      <c r="AL258" s="117">
        <v>79052.97</v>
      </c>
      <c r="AM258" s="117">
        <v>59321.46</v>
      </c>
      <c r="AN258" s="117">
        <v>64197.65</v>
      </c>
      <c r="AO258" s="150"/>
      <c r="AP258" s="117">
        <v>64192.5</v>
      </c>
      <c r="AQ258" s="117">
        <v>33229.07</v>
      </c>
      <c r="AR258" s="117">
        <v>10956.07</v>
      </c>
      <c r="AS258" s="117">
        <v>0</v>
      </c>
      <c r="AT258" s="117">
        <v>0</v>
      </c>
      <c r="AU258" s="117">
        <v>0</v>
      </c>
      <c r="AV258" s="117">
        <v>0</v>
      </c>
      <c r="AW258" s="117">
        <v>0</v>
      </c>
      <c r="AX258" s="117">
        <v>0</v>
      </c>
      <c r="AY258" s="117">
        <v>0</v>
      </c>
      <c r="AZ258" s="117">
        <v>0</v>
      </c>
      <c r="BA258" s="117">
        <v>0</v>
      </c>
    </row>
    <row r="259" spans="1:53" s="138" customFormat="1" outlineLevel="2" x14ac:dyDescent="0.25">
      <c r="A259" s="138" t="s">
        <v>829</v>
      </c>
      <c r="B259" s="139" t="s">
        <v>830</v>
      </c>
      <c r="C259" s="140" t="s">
        <v>831</v>
      </c>
      <c r="D259" s="141"/>
      <c r="E259" s="142"/>
      <c r="F259" s="143">
        <v>8653.9600000000009</v>
      </c>
      <c r="G259" s="143">
        <v>10164.460000000001</v>
      </c>
      <c r="H259" s="144">
        <f t="shared" si="58"/>
        <v>-1510.5</v>
      </c>
      <c r="I259" s="145">
        <f t="shared" si="59"/>
        <v>-0.1486060253077881</v>
      </c>
      <c r="J259" s="146"/>
      <c r="K259" s="143">
        <v>20165.97</v>
      </c>
      <c r="L259" s="143">
        <v>19979.41</v>
      </c>
      <c r="M259" s="144">
        <f t="shared" si="60"/>
        <v>186.56000000000131</v>
      </c>
      <c r="N259" s="145">
        <f t="shared" si="61"/>
        <v>9.337613072658367E-3</v>
      </c>
      <c r="O259" s="147"/>
      <c r="P259" s="146"/>
      <c r="Q259" s="143">
        <v>30140.82</v>
      </c>
      <c r="R259" s="143">
        <v>29413.370000000003</v>
      </c>
      <c r="S259" s="144">
        <f t="shared" si="62"/>
        <v>727.44999999999709</v>
      </c>
      <c r="T259" s="145">
        <f t="shared" si="63"/>
        <v>2.4731950130161794E-2</v>
      </c>
      <c r="U259" s="146"/>
      <c r="V259" s="143">
        <v>117924.68000000001</v>
      </c>
      <c r="W259" s="143">
        <v>114849.16</v>
      </c>
      <c r="X259" s="144">
        <f t="shared" si="64"/>
        <v>3075.5200000000041</v>
      </c>
      <c r="Y259" s="145">
        <f t="shared" si="65"/>
        <v>2.6778776614474184E-2</v>
      </c>
      <c r="Z259" s="148"/>
      <c r="AA259" s="149">
        <v>9433.9600000000009</v>
      </c>
      <c r="AB259" s="150"/>
      <c r="AC259" s="117">
        <v>9814.9500000000007</v>
      </c>
      <c r="AD259" s="117">
        <v>10164.460000000001</v>
      </c>
      <c r="AE259" s="117">
        <v>12249.42</v>
      </c>
      <c r="AF259" s="117">
        <v>10283.94</v>
      </c>
      <c r="AG259" s="117">
        <v>9376.16</v>
      </c>
      <c r="AH259" s="117">
        <v>15587.79</v>
      </c>
      <c r="AI259" s="117">
        <v>5984.87</v>
      </c>
      <c r="AJ259" s="117">
        <v>12303.11</v>
      </c>
      <c r="AK259" s="117">
        <v>7145.76</v>
      </c>
      <c r="AL259" s="117">
        <v>7930.6500000000005</v>
      </c>
      <c r="AM259" s="117">
        <v>6922.16</v>
      </c>
      <c r="AN259" s="117">
        <v>9974.85</v>
      </c>
      <c r="AO259" s="150"/>
      <c r="AP259" s="117">
        <v>11512.01</v>
      </c>
      <c r="AQ259" s="117">
        <v>8653.9600000000009</v>
      </c>
      <c r="AR259" s="117">
        <v>0</v>
      </c>
      <c r="AS259" s="117">
        <v>0</v>
      </c>
      <c r="AT259" s="117">
        <v>0</v>
      </c>
      <c r="AU259" s="117">
        <v>0</v>
      </c>
      <c r="AV259" s="117">
        <v>0</v>
      </c>
      <c r="AW259" s="117">
        <v>0</v>
      </c>
      <c r="AX259" s="117">
        <v>0</v>
      </c>
      <c r="AY259" s="117">
        <v>0</v>
      </c>
      <c r="AZ259" s="117">
        <v>0</v>
      </c>
      <c r="BA259" s="117">
        <v>0</v>
      </c>
    </row>
    <row r="260" spans="1:53" s="138" customFormat="1" outlineLevel="2" x14ac:dyDescent="0.25">
      <c r="A260" s="138" t="s">
        <v>832</v>
      </c>
      <c r="B260" s="139" t="s">
        <v>833</v>
      </c>
      <c r="C260" s="140" t="s">
        <v>834</v>
      </c>
      <c r="D260" s="141"/>
      <c r="E260" s="142"/>
      <c r="F260" s="143">
        <v>5038.68</v>
      </c>
      <c r="G260" s="143">
        <v>125.65</v>
      </c>
      <c r="H260" s="144">
        <f t="shared" si="58"/>
        <v>4913.0300000000007</v>
      </c>
      <c r="I260" s="145" t="str">
        <f t="shared" si="59"/>
        <v>N.M.</v>
      </c>
      <c r="J260" s="146"/>
      <c r="K260" s="143">
        <v>10084.08</v>
      </c>
      <c r="L260" s="143">
        <v>10298.09</v>
      </c>
      <c r="M260" s="144">
        <f t="shared" si="60"/>
        <v>-214.01000000000022</v>
      </c>
      <c r="N260" s="145">
        <f t="shared" si="61"/>
        <v>-2.0781523564078409E-2</v>
      </c>
      <c r="O260" s="147"/>
      <c r="P260" s="146"/>
      <c r="Q260" s="143">
        <v>15552.75</v>
      </c>
      <c r="R260" s="143">
        <v>15749.44</v>
      </c>
      <c r="S260" s="144">
        <f t="shared" si="62"/>
        <v>-196.69000000000051</v>
      </c>
      <c r="T260" s="145">
        <f t="shared" si="63"/>
        <v>-1.2488698010849942E-2</v>
      </c>
      <c r="U260" s="146"/>
      <c r="V260" s="143">
        <v>76538.58</v>
      </c>
      <c r="W260" s="143">
        <v>66766.27</v>
      </c>
      <c r="X260" s="144">
        <f t="shared" si="64"/>
        <v>9772.3099999999977</v>
      </c>
      <c r="Y260" s="145">
        <f t="shared" si="65"/>
        <v>0.14636597191965339</v>
      </c>
      <c r="Z260" s="148"/>
      <c r="AA260" s="149">
        <v>5451.35</v>
      </c>
      <c r="AB260" s="150"/>
      <c r="AC260" s="117">
        <v>10172.44</v>
      </c>
      <c r="AD260" s="117">
        <v>125.65</v>
      </c>
      <c r="AE260" s="117">
        <v>4844.3</v>
      </c>
      <c r="AF260" s="117">
        <v>4781.6900000000005</v>
      </c>
      <c r="AG260" s="117">
        <v>5275.92</v>
      </c>
      <c r="AH260" s="117">
        <v>9375.59</v>
      </c>
      <c r="AI260" s="117">
        <v>315.81</v>
      </c>
      <c r="AJ260" s="117">
        <v>5379.79</v>
      </c>
      <c r="AK260" s="117">
        <v>5283.18</v>
      </c>
      <c r="AL260" s="117">
        <v>5988.9400000000005</v>
      </c>
      <c r="AM260" s="117">
        <v>19740.61</v>
      </c>
      <c r="AN260" s="117">
        <v>5468.67</v>
      </c>
      <c r="AO260" s="150"/>
      <c r="AP260" s="117">
        <v>5045.4000000000005</v>
      </c>
      <c r="AQ260" s="117">
        <v>5038.68</v>
      </c>
      <c r="AR260" s="117">
        <v>0</v>
      </c>
      <c r="AS260" s="117">
        <v>0</v>
      </c>
      <c r="AT260" s="117">
        <v>0</v>
      </c>
      <c r="AU260" s="117">
        <v>0</v>
      </c>
      <c r="AV260" s="117">
        <v>0</v>
      </c>
      <c r="AW260" s="117">
        <v>0</v>
      </c>
      <c r="AX260" s="117">
        <v>0</v>
      </c>
      <c r="AY260" s="117">
        <v>0</v>
      </c>
      <c r="AZ260" s="117">
        <v>0</v>
      </c>
      <c r="BA260" s="117">
        <v>0</v>
      </c>
    </row>
    <row r="261" spans="1:53" s="138" customFormat="1" outlineLevel="2" x14ac:dyDescent="0.25">
      <c r="A261" s="138" t="s">
        <v>835</v>
      </c>
      <c r="B261" s="139" t="s">
        <v>836</v>
      </c>
      <c r="C261" s="140" t="s">
        <v>837</v>
      </c>
      <c r="D261" s="141"/>
      <c r="E261" s="142"/>
      <c r="F261" s="143">
        <v>97852.900000000009</v>
      </c>
      <c r="G261" s="143">
        <v>54780.71</v>
      </c>
      <c r="H261" s="144">
        <f t="shared" si="58"/>
        <v>43072.19000000001</v>
      </c>
      <c r="I261" s="145">
        <f t="shared" si="59"/>
        <v>0.78626563985753395</v>
      </c>
      <c r="J261" s="146"/>
      <c r="K261" s="143">
        <v>170170.21</v>
      </c>
      <c r="L261" s="143">
        <v>123684.85</v>
      </c>
      <c r="M261" s="144">
        <f t="shared" si="60"/>
        <v>46485.359999999986</v>
      </c>
      <c r="N261" s="145">
        <f t="shared" si="61"/>
        <v>0.37583713769309646</v>
      </c>
      <c r="O261" s="147"/>
      <c r="P261" s="146"/>
      <c r="Q261" s="143">
        <v>247298.45</v>
      </c>
      <c r="R261" s="143">
        <v>181737.16</v>
      </c>
      <c r="S261" s="144">
        <f t="shared" si="62"/>
        <v>65561.290000000008</v>
      </c>
      <c r="T261" s="145">
        <f t="shared" si="63"/>
        <v>0.36074785145756655</v>
      </c>
      <c r="U261" s="146"/>
      <c r="V261" s="143">
        <v>1038915.61</v>
      </c>
      <c r="W261" s="143">
        <v>838902.96</v>
      </c>
      <c r="X261" s="144">
        <f t="shared" si="64"/>
        <v>200012.65000000002</v>
      </c>
      <c r="Y261" s="145">
        <f t="shared" si="65"/>
        <v>0.23842167632833247</v>
      </c>
      <c r="Z261" s="148"/>
      <c r="AA261" s="149">
        <v>58052.31</v>
      </c>
      <c r="AB261" s="150"/>
      <c r="AC261" s="117">
        <v>68904.14</v>
      </c>
      <c r="AD261" s="117">
        <v>54780.71</v>
      </c>
      <c r="AE261" s="117">
        <v>92424.5</v>
      </c>
      <c r="AF261" s="117">
        <v>83162.180000000008</v>
      </c>
      <c r="AG261" s="117">
        <v>89293.55</v>
      </c>
      <c r="AH261" s="117">
        <v>90608.55</v>
      </c>
      <c r="AI261" s="117">
        <v>78644.17</v>
      </c>
      <c r="AJ261" s="117">
        <v>84617.58</v>
      </c>
      <c r="AK261" s="117">
        <v>91912.900000000009</v>
      </c>
      <c r="AL261" s="117">
        <v>94684.98</v>
      </c>
      <c r="AM261" s="117">
        <v>86268.75</v>
      </c>
      <c r="AN261" s="117">
        <v>77128.240000000005</v>
      </c>
      <c r="AO261" s="150"/>
      <c r="AP261" s="117">
        <v>72317.31</v>
      </c>
      <c r="AQ261" s="117">
        <v>97852.900000000009</v>
      </c>
      <c r="AR261" s="117">
        <v>-128.37</v>
      </c>
      <c r="AS261" s="117">
        <v>0</v>
      </c>
      <c r="AT261" s="117">
        <v>0</v>
      </c>
      <c r="AU261" s="117">
        <v>0</v>
      </c>
      <c r="AV261" s="117">
        <v>0</v>
      </c>
      <c r="AW261" s="117">
        <v>0</v>
      </c>
      <c r="AX261" s="117">
        <v>0</v>
      </c>
      <c r="AY261" s="117">
        <v>0</v>
      </c>
      <c r="AZ261" s="117">
        <v>0</v>
      </c>
      <c r="BA261" s="117">
        <v>0</v>
      </c>
    </row>
    <row r="262" spans="1:53" s="138" customFormat="1" outlineLevel="2" x14ac:dyDescent="0.25">
      <c r="A262" s="138" t="s">
        <v>838</v>
      </c>
      <c r="B262" s="139" t="s">
        <v>839</v>
      </c>
      <c r="C262" s="140" t="s">
        <v>840</v>
      </c>
      <c r="D262" s="141"/>
      <c r="E262" s="142"/>
      <c r="F262" s="143">
        <v>26074.97</v>
      </c>
      <c r="G262" s="143">
        <v>26879.41</v>
      </c>
      <c r="H262" s="144">
        <f t="shared" si="58"/>
        <v>-804.43999999999869</v>
      </c>
      <c r="I262" s="145">
        <f t="shared" si="59"/>
        <v>-2.9927740229417188E-2</v>
      </c>
      <c r="J262" s="146"/>
      <c r="K262" s="143">
        <v>46628.47</v>
      </c>
      <c r="L262" s="143">
        <v>48405.520000000004</v>
      </c>
      <c r="M262" s="144">
        <f t="shared" si="60"/>
        <v>-1777.0500000000029</v>
      </c>
      <c r="N262" s="145">
        <f t="shared" si="61"/>
        <v>-3.6711722134169879E-2</v>
      </c>
      <c r="O262" s="147"/>
      <c r="P262" s="146"/>
      <c r="Q262" s="143">
        <v>81077.459999999992</v>
      </c>
      <c r="R262" s="143">
        <v>74592.81</v>
      </c>
      <c r="S262" s="144">
        <f t="shared" si="62"/>
        <v>6484.6499999999942</v>
      </c>
      <c r="T262" s="145">
        <f t="shared" si="63"/>
        <v>8.6933981974938263E-2</v>
      </c>
      <c r="U262" s="146"/>
      <c r="V262" s="143">
        <v>305140.93</v>
      </c>
      <c r="W262" s="143">
        <v>437061.03</v>
      </c>
      <c r="X262" s="144">
        <f t="shared" si="64"/>
        <v>-131920.10000000003</v>
      </c>
      <c r="Y262" s="145">
        <f t="shared" si="65"/>
        <v>-0.30183450581260934</v>
      </c>
      <c r="Z262" s="148"/>
      <c r="AA262" s="149">
        <v>26187.29</v>
      </c>
      <c r="AB262" s="150"/>
      <c r="AC262" s="117">
        <v>21526.11</v>
      </c>
      <c r="AD262" s="117">
        <v>26879.41</v>
      </c>
      <c r="AE262" s="117">
        <v>26762.600000000002</v>
      </c>
      <c r="AF262" s="117">
        <v>25611.89</v>
      </c>
      <c r="AG262" s="117">
        <v>19733.850000000002</v>
      </c>
      <c r="AH262" s="117">
        <v>22850.21</v>
      </c>
      <c r="AI262" s="117">
        <v>22624.31</v>
      </c>
      <c r="AJ262" s="117">
        <v>27683.33</v>
      </c>
      <c r="AK262" s="117">
        <v>26086.59</v>
      </c>
      <c r="AL262" s="117">
        <v>27790.53</v>
      </c>
      <c r="AM262" s="117">
        <v>24920.16</v>
      </c>
      <c r="AN262" s="117">
        <v>34448.99</v>
      </c>
      <c r="AO262" s="150"/>
      <c r="AP262" s="117">
        <v>20553.5</v>
      </c>
      <c r="AQ262" s="117">
        <v>26074.97</v>
      </c>
      <c r="AR262" s="117">
        <v>89.44</v>
      </c>
      <c r="AS262" s="117">
        <v>0</v>
      </c>
      <c r="AT262" s="117">
        <v>0</v>
      </c>
      <c r="AU262" s="117">
        <v>0</v>
      </c>
      <c r="AV262" s="117">
        <v>0</v>
      </c>
      <c r="AW262" s="117">
        <v>0</v>
      </c>
      <c r="AX262" s="117">
        <v>0</v>
      </c>
      <c r="AY262" s="117">
        <v>0</v>
      </c>
      <c r="AZ262" s="117">
        <v>0</v>
      </c>
      <c r="BA262" s="117">
        <v>0</v>
      </c>
    </row>
    <row r="263" spans="1:53" s="138" customFormat="1" outlineLevel="2" x14ac:dyDescent="0.25">
      <c r="A263" s="138" t="s">
        <v>841</v>
      </c>
      <c r="B263" s="139" t="s">
        <v>842</v>
      </c>
      <c r="C263" s="140" t="s">
        <v>843</v>
      </c>
      <c r="D263" s="141"/>
      <c r="E263" s="142"/>
      <c r="F263" s="143">
        <v>14658.29</v>
      </c>
      <c r="G263" s="143">
        <v>13677.51</v>
      </c>
      <c r="H263" s="144">
        <f t="shared" si="58"/>
        <v>980.78000000000065</v>
      </c>
      <c r="I263" s="145">
        <f t="shared" si="59"/>
        <v>7.1707496466827711E-2</v>
      </c>
      <c r="J263" s="146"/>
      <c r="K263" s="143">
        <v>33232.18</v>
      </c>
      <c r="L263" s="143">
        <v>27440.38</v>
      </c>
      <c r="M263" s="144">
        <f t="shared" si="60"/>
        <v>5791.7999999999993</v>
      </c>
      <c r="N263" s="145">
        <f t="shared" si="61"/>
        <v>0.21106850561107388</v>
      </c>
      <c r="O263" s="147"/>
      <c r="P263" s="146"/>
      <c r="Q263" s="143">
        <v>54607.21</v>
      </c>
      <c r="R263" s="143">
        <v>43892.68</v>
      </c>
      <c r="S263" s="144">
        <f t="shared" si="62"/>
        <v>10714.529999999999</v>
      </c>
      <c r="T263" s="145">
        <f t="shared" si="63"/>
        <v>0.24410744570620885</v>
      </c>
      <c r="U263" s="146"/>
      <c r="V263" s="143">
        <v>182336.73</v>
      </c>
      <c r="W263" s="143">
        <v>207093.38</v>
      </c>
      <c r="X263" s="144">
        <f t="shared" si="64"/>
        <v>-24756.649999999994</v>
      </c>
      <c r="Y263" s="145">
        <f t="shared" si="65"/>
        <v>-0.11954341563211723</v>
      </c>
      <c r="Z263" s="148"/>
      <c r="AA263" s="149">
        <v>16452.3</v>
      </c>
      <c r="AB263" s="150"/>
      <c r="AC263" s="117">
        <v>13762.87</v>
      </c>
      <c r="AD263" s="117">
        <v>13677.51</v>
      </c>
      <c r="AE263" s="117">
        <v>15207.14</v>
      </c>
      <c r="AF263" s="117">
        <v>14112.1</v>
      </c>
      <c r="AG263" s="117">
        <v>12446.61</v>
      </c>
      <c r="AH263" s="117">
        <v>17592.63</v>
      </c>
      <c r="AI263" s="117">
        <v>10513.61</v>
      </c>
      <c r="AJ263" s="117">
        <v>17142.38</v>
      </c>
      <c r="AK263" s="117">
        <v>14045.74</v>
      </c>
      <c r="AL263" s="117">
        <v>16164.5</v>
      </c>
      <c r="AM263" s="117">
        <v>10504.81</v>
      </c>
      <c r="AN263" s="117">
        <v>21375.03</v>
      </c>
      <c r="AO263" s="150"/>
      <c r="AP263" s="117">
        <v>18573.89</v>
      </c>
      <c r="AQ263" s="117">
        <v>14658.29</v>
      </c>
      <c r="AR263" s="117">
        <v>-548.09</v>
      </c>
      <c r="AS263" s="117">
        <v>0</v>
      </c>
      <c r="AT263" s="117">
        <v>0</v>
      </c>
      <c r="AU263" s="117">
        <v>0</v>
      </c>
      <c r="AV263" s="117">
        <v>0</v>
      </c>
      <c r="AW263" s="117">
        <v>0</v>
      </c>
      <c r="AX263" s="117">
        <v>0</v>
      </c>
      <c r="AY263" s="117">
        <v>0</v>
      </c>
      <c r="AZ263" s="117">
        <v>0</v>
      </c>
      <c r="BA263" s="117">
        <v>0</v>
      </c>
    </row>
    <row r="264" spans="1:53" s="138" customFormat="1" outlineLevel="2" x14ac:dyDescent="0.25">
      <c r="A264" s="138" t="s">
        <v>844</v>
      </c>
      <c r="B264" s="139" t="s">
        <v>845</v>
      </c>
      <c r="C264" s="140" t="s">
        <v>846</v>
      </c>
      <c r="D264" s="141"/>
      <c r="E264" s="142"/>
      <c r="F264" s="143">
        <v>19012.72</v>
      </c>
      <c r="G264" s="143">
        <v>38498.47</v>
      </c>
      <c r="H264" s="144">
        <f t="shared" si="58"/>
        <v>-19485.75</v>
      </c>
      <c r="I264" s="145">
        <f t="shared" si="59"/>
        <v>-0.5061434908971707</v>
      </c>
      <c r="J264" s="146"/>
      <c r="K264" s="143">
        <v>-1076.83</v>
      </c>
      <c r="L264" s="143">
        <v>42332.46</v>
      </c>
      <c r="M264" s="144">
        <f t="shared" si="60"/>
        <v>-43409.29</v>
      </c>
      <c r="N264" s="145">
        <f t="shared" si="61"/>
        <v>-1.0254374539065294</v>
      </c>
      <c r="O264" s="147"/>
      <c r="P264" s="146"/>
      <c r="Q264" s="143">
        <v>10074.65</v>
      </c>
      <c r="R264" s="143">
        <v>36804.58</v>
      </c>
      <c r="S264" s="144">
        <f t="shared" si="62"/>
        <v>-26729.93</v>
      </c>
      <c r="T264" s="145">
        <f t="shared" si="63"/>
        <v>-0.72626640488765259</v>
      </c>
      <c r="U264" s="146"/>
      <c r="V264" s="143">
        <v>-175139.53</v>
      </c>
      <c r="W264" s="143">
        <v>237634.87</v>
      </c>
      <c r="X264" s="144">
        <f t="shared" si="64"/>
        <v>-412774.40000000002</v>
      </c>
      <c r="Y264" s="145">
        <f t="shared" si="65"/>
        <v>-1.7370110708079165</v>
      </c>
      <c r="Z264" s="148"/>
      <c r="AA264" s="149">
        <v>-5527.88</v>
      </c>
      <c r="AB264" s="150"/>
      <c r="AC264" s="117">
        <v>3833.9900000000002</v>
      </c>
      <c r="AD264" s="117">
        <v>38498.47</v>
      </c>
      <c r="AE264" s="117">
        <v>-10915.24</v>
      </c>
      <c r="AF264" s="117">
        <v>26236.850000000002</v>
      </c>
      <c r="AG264" s="117">
        <v>11948.95</v>
      </c>
      <c r="AH264" s="117">
        <v>-203282.82</v>
      </c>
      <c r="AI264" s="117">
        <v>-1308.29</v>
      </c>
      <c r="AJ264" s="117">
        <v>24127.53</v>
      </c>
      <c r="AK264" s="117">
        <v>-22827.83</v>
      </c>
      <c r="AL264" s="117">
        <v>5922.67</v>
      </c>
      <c r="AM264" s="117">
        <v>-15116</v>
      </c>
      <c r="AN264" s="117">
        <v>11151.48</v>
      </c>
      <c r="AO264" s="150"/>
      <c r="AP264" s="117">
        <v>-20089.55</v>
      </c>
      <c r="AQ264" s="117">
        <v>19012.72</v>
      </c>
      <c r="AR264" s="117">
        <v>-65680.22</v>
      </c>
      <c r="AS264" s="117">
        <v>0</v>
      </c>
      <c r="AT264" s="117">
        <v>0</v>
      </c>
      <c r="AU264" s="117">
        <v>0</v>
      </c>
      <c r="AV264" s="117">
        <v>0</v>
      </c>
      <c r="AW264" s="117">
        <v>0</v>
      </c>
      <c r="AX264" s="117">
        <v>0</v>
      </c>
      <c r="AY264" s="117">
        <v>0</v>
      </c>
      <c r="AZ264" s="117">
        <v>0</v>
      </c>
      <c r="BA264" s="117">
        <v>0</v>
      </c>
    </row>
    <row r="265" spans="1:53" s="138" customFormat="1" outlineLevel="2" x14ac:dyDescent="0.25">
      <c r="A265" s="138" t="s">
        <v>847</v>
      </c>
      <c r="B265" s="139" t="s">
        <v>848</v>
      </c>
      <c r="C265" s="140" t="s">
        <v>849</v>
      </c>
      <c r="D265" s="141"/>
      <c r="E265" s="142"/>
      <c r="F265" s="143">
        <v>1216.3600000000001</v>
      </c>
      <c r="G265" s="143">
        <v>1360.75</v>
      </c>
      <c r="H265" s="144">
        <f t="shared" si="58"/>
        <v>-144.38999999999987</v>
      </c>
      <c r="I265" s="145">
        <f t="shared" si="59"/>
        <v>-0.1061106007716332</v>
      </c>
      <c r="J265" s="146"/>
      <c r="K265" s="143">
        <v>2102.81</v>
      </c>
      <c r="L265" s="143">
        <v>2982.43</v>
      </c>
      <c r="M265" s="144">
        <f t="shared" si="60"/>
        <v>-879.61999999999989</v>
      </c>
      <c r="N265" s="145">
        <f t="shared" si="61"/>
        <v>-0.29493399677444232</v>
      </c>
      <c r="O265" s="147"/>
      <c r="P265" s="146"/>
      <c r="Q265" s="143">
        <v>3509.08</v>
      </c>
      <c r="R265" s="143">
        <v>5369.36</v>
      </c>
      <c r="S265" s="144">
        <f t="shared" si="62"/>
        <v>-1860.2799999999997</v>
      </c>
      <c r="T265" s="145">
        <f t="shared" si="63"/>
        <v>-0.34646214818898341</v>
      </c>
      <c r="U265" s="146"/>
      <c r="V265" s="143">
        <v>16984.016</v>
      </c>
      <c r="W265" s="143">
        <v>22844.440000000002</v>
      </c>
      <c r="X265" s="144">
        <f t="shared" si="64"/>
        <v>-5860.4240000000027</v>
      </c>
      <c r="Y265" s="145">
        <f t="shared" si="65"/>
        <v>-0.25653611994866155</v>
      </c>
      <c r="Z265" s="148"/>
      <c r="AA265" s="149">
        <v>2386.9299999999998</v>
      </c>
      <c r="AB265" s="150"/>
      <c r="AC265" s="117">
        <v>1621.68</v>
      </c>
      <c r="AD265" s="117">
        <v>1360.75</v>
      </c>
      <c r="AE265" s="117">
        <v>2291.1</v>
      </c>
      <c r="AF265" s="117">
        <v>1379.6660000000002</v>
      </c>
      <c r="AG265" s="117">
        <v>937.48</v>
      </c>
      <c r="AH265" s="117">
        <v>1896.22</v>
      </c>
      <c r="AI265" s="117">
        <v>892.11</v>
      </c>
      <c r="AJ265" s="117">
        <v>1701.33</v>
      </c>
      <c r="AK265" s="117">
        <v>1284.28</v>
      </c>
      <c r="AL265" s="117">
        <v>1132.9100000000001</v>
      </c>
      <c r="AM265" s="117">
        <v>1959.8400000000001</v>
      </c>
      <c r="AN265" s="117">
        <v>1406.27</v>
      </c>
      <c r="AO265" s="150"/>
      <c r="AP265" s="117">
        <v>886.45</v>
      </c>
      <c r="AQ265" s="117">
        <v>1216.3600000000001</v>
      </c>
      <c r="AR265" s="117">
        <v>165.20000000000002</v>
      </c>
      <c r="AS265" s="117">
        <v>0</v>
      </c>
      <c r="AT265" s="117">
        <v>0</v>
      </c>
      <c r="AU265" s="117">
        <v>0</v>
      </c>
      <c r="AV265" s="117">
        <v>0</v>
      </c>
      <c r="AW265" s="117">
        <v>0</v>
      </c>
      <c r="AX265" s="117">
        <v>0</v>
      </c>
      <c r="AY265" s="117">
        <v>0</v>
      </c>
      <c r="AZ265" s="117">
        <v>0</v>
      </c>
      <c r="BA265" s="117">
        <v>0</v>
      </c>
    </row>
    <row r="266" spans="1:53" s="211" customFormat="1" outlineLevel="1" x14ac:dyDescent="0.25">
      <c r="A266" s="211" t="s">
        <v>850</v>
      </c>
      <c r="B266" s="212"/>
      <c r="C266" s="213" t="s">
        <v>851</v>
      </c>
      <c r="D266" s="229"/>
      <c r="E266" s="229"/>
      <c r="F266" s="215">
        <v>518192.21000000008</v>
      </c>
      <c r="G266" s="215">
        <v>499560.92000000004</v>
      </c>
      <c r="H266" s="236">
        <f t="shared" si="58"/>
        <v>18631.290000000037</v>
      </c>
      <c r="I266" s="237">
        <f t="shared" si="59"/>
        <v>3.7295331268106469E-2</v>
      </c>
      <c r="J266" s="231"/>
      <c r="K266" s="215">
        <v>998465.35</v>
      </c>
      <c r="L266" s="215">
        <v>937791.78999999992</v>
      </c>
      <c r="M266" s="236">
        <f t="shared" si="60"/>
        <v>60673.560000000056</v>
      </c>
      <c r="N266" s="232">
        <f t="shared" si="61"/>
        <v>6.4698327120138316E-2</v>
      </c>
      <c r="O266" s="233"/>
      <c r="P266" s="233"/>
      <c r="Q266" s="215">
        <v>1595055.06</v>
      </c>
      <c r="R266" s="215">
        <v>1363723.1499999997</v>
      </c>
      <c r="S266" s="236">
        <f t="shared" si="62"/>
        <v>231331.91000000038</v>
      </c>
      <c r="T266" s="237">
        <f t="shared" si="63"/>
        <v>0.16963260468226299</v>
      </c>
      <c r="U266" s="233"/>
      <c r="V266" s="215">
        <v>5767894.8559999978</v>
      </c>
      <c r="W266" s="215">
        <v>6164411.549999998</v>
      </c>
      <c r="X266" s="236">
        <f t="shared" si="64"/>
        <v>-396516.69400000013</v>
      </c>
      <c r="Y266" s="232">
        <f t="shared" si="65"/>
        <v>-6.4323527198634281E-2</v>
      </c>
      <c r="AA266" s="215">
        <v>425931.35999999993</v>
      </c>
      <c r="AB266" s="235"/>
      <c r="AC266" s="215">
        <v>438230.87</v>
      </c>
      <c r="AD266" s="215">
        <v>499560.92000000004</v>
      </c>
      <c r="AE266" s="215">
        <v>487354.51999999996</v>
      </c>
      <c r="AF266" s="215">
        <v>513808.56600000005</v>
      </c>
      <c r="AG266" s="215">
        <v>466565.60999999993</v>
      </c>
      <c r="AH266" s="215">
        <v>271207.73</v>
      </c>
      <c r="AI266" s="215">
        <v>448784.74</v>
      </c>
      <c r="AJ266" s="215">
        <v>524440.91999999993</v>
      </c>
      <c r="AK266" s="215">
        <v>478907.86000000004</v>
      </c>
      <c r="AL266" s="215">
        <v>520617.52999999991</v>
      </c>
      <c r="AM266" s="215">
        <v>461152.32</v>
      </c>
      <c r="AN266" s="215">
        <v>596589.71000000008</v>
      </c>
      <c r="AO266" s="235"/>
      <c r="AP266" s="215">
        <v>480273.14000000007</v>
      </c>
      <c r="AQ266" s="215">
        <v>518192.21000000008</v>
      </c>
      <c r="AR266" s="215">
        <v>-54700.920000000006</v>
      </c>
      <c r="AS266" s="215">
        <v>0</v>
      </c>
      <c r="AT266" s="215">
        <v>0</v>
      </c>
      <c r="AU266" s="215">
        <v>0</v>
      </c>
      <c r="AV266" s="215">
        <v>0</v>
      </c>
      <c r="AW266" s="215">
        <v>0</v>
      </c>
      <c r="AX266" s="215">
        <v>0</v>
      </c>
      <c r="AY266" s="215">
        <v>0</v>
      </c>
      <c r="AZ266" s="215">
        <v>0</v>
      </c>
      <c r="BA266" s="215">
        <v>0</v>
      </c>
    </row>
    <row r="267" spans="1:53" s="211" customFormat="1" ht="0.75" customHeight="1" outlineLevel="2" x14ac:dyDescent="0.25">
      <c r="B267" s="212"/>
      <c r="C267" s="213"/>
      <c r="D267" s="229"/>
      <c r="E267" s="229"/>
      <c r="F267" s="215"/>
      <c r="G267" s="215"/>
      <c r="H267" s="236"/>
      <c r="I267" s="237"/>
      <c r="J267" s="231"/>
      <c r="K267" s="215"/>
      <c r="L267" s="215"/>
      <c r="M267" s="236"/>
      <c r="N267" s="232"/>
      <c r="O267" s="233"/>
      <c r="P267" s="233"/>
      <c r="Q267" s="215"/>
      <c r="R267" s="215"/>
      <c r="S267" s="236"/>
      <c r="T267" s="237"/>
      <c r="U267" s="233"/>
      <c r="V267" s="215"/>
      <c r="W267" s="215"/>
      <c r="X267" s="236"/>
      <c r="Y267" s="232"/>
      <c r="AA267" s="215"/>
      <c r="AB267" s="235"/>
      <c r="AC267" s="215"/>
      <c r="AD267" s="215"/>
      <c r="AE267" s="215"/>
      <c r="AF267" s="215"/>
      <c r="AG267" s="215"/>
      <c r="AH267" s="215"/>
      <c r="AI267" s="215"/>
      <c r="AJ267" s="215"/>
      <c r="AK267" s="215"/>
      <c r="AL267" s="215"/>
      <c r="AM267" s="215"/>
      <c r="AN267" s="215"/>
      <c r="AO267" s="23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</row>
    <row r="268" spans="1:53" s="138" customFormat="1" outlineLevel="2" x14ac:dyDescent="0.25">
      <c r="A268" s="138" t="s">
        <v>852</v>
      </c>
      <c r="B268" s="139" t="s">
        <v>853</v>
      </c>
      <c r="C268" s="140" t="s">
        <v>854</v>
      </c>
      <c r="D268" s="141"/>
      <c r="E268" s="142"/>
      <c r="F268" s="143">
        <v>11512.92</v>
      </c>
      <c r="G268" s="143">
        <v>5657.7</v>
      </c>
      <c r="H268" s="144">
        <f t="shared" ref="H268:H284" si="66">+F268-G268</f>
        <v>5855.22</v>
      </c>
      <c r="I268" s="145">
        <f t="shared" ref="I268:I284" si="67">IF(G268&lt;0,IF(H268=0,0,IF(OR(G268=0,F268=0),"N.M.",IF(ABS(H268/G268)&gt;=10,"N.M.",H268/(-G268)))),IF(H268=0,0,IF(OR(G268=0,F268=0),"N.M.",IF(ABS(H268/G268)&gt;=10,"N.M.",H268/G268))))</f>
        <v>1.0349117132403627</v>
      </c>
      <c r="J268" s="146"/>
      <c r="K268" s="143">
        <v>27053.34</v>
      </c>
      <c r="L268" s="143">
        <v>10948.48</v>
      </c>
      <c r="M268" s="144">
        <f t="shared" ref="M268:M284" si="68">+K268-L268</f>
        <v>16104.86</v>
      </c>
      <c r="N268" s="145">
        <f t="shared" ref="N268:N284" si="69">IF(L268&lt;0,IF(M268=0,0,IF(OR(L268=0,K268=0),"N.M.",IF(ABS(M268/L268)&gt;=10,"N.M.",M268/(-L268)))),IF(M268=0,0,IF(OR(L268=0,K268=0),"N.M.",IF(ABS(M268/L268)&gt;=10,"N.M.",M268/L268))))</f>
        <v>1.4709676594376573</v>
      </c>
      <c r="O268" s="147"/>
      <c r="P268" s="146"/>
      <c r="Q268" s="143">
        <v>38295.61</v>
      </c>
      <c r="R268" s="143">
        <v>16355.869999999999</v>
      </c>
      <c r="S268" s="144">
        <f t="shared" ref="S268:S284" si="70">+Q268-R268</f>
        <v>21939.74</v>
      </c>
      <c r="T268" s="145">
        <f t="shared" ref="T268:T284" si="71">IF(R268&lt;0,IF(S268=0,0,IF(OR(R268=0,Q268=0),"N.M.",IF(ABS(S268/R268)&gt;=10,"N.M.",S268/(-R268)))),IF(S268=0,0,IF(OR(R268=0,Q268=0),"N.M.",IF(ABS(S268/R268)&gt;=10,"N.M.",S268/R268))))</f>
        <v>1.3413985315363843</v>
      </c>
      <c r="U268" s="146"/>
      <c r="V268" s="143">
        <v>126171.24</v>
      </c>
      <c r="W268" s="143">
        <v>96713.58</v>
      </c>
      <c r="X268" s="144">
        <f t="shared" ref="X268:X284" si="72">+V268-W268</f>
        <v>29457.660000000003</v>
      </c>
      <c r="Y268" s="145">
        <f t="shared" ref="Y268:Y284" si="73">IF(W268&lt;0,IF(X268=0,0,IF(OR(W268=0,V268=0),"N.M.",IF(ABS(X268/W268)&gt;=10,"N.M.",X268/(-W268)))),IF(X268=0,0,IF(OR(W268=0,V268=0),"N.M.",IF(ABS(X268/W268)&gt;=10,"N.M.",X268/W268))))</f>
        <v>0.30458659476776689</v>
      </c>
      <c r="Z268" s="148"/>
      <c r="AA268" s="149">
        <v>5407.39</v>
      </c>
      <c r="AB268" s="150"/>
      <c r="AC268" s="117">
        <v>5290.78</v>
      </c>
      <c r="AD268" s="117">
        <v>5657.7</v>
      </c>
      <c r="AE268" s="117">
        <v>3947.44</v>
      </c>
      <c r="AF268" s="117">
        <v>7785.1500000000005</v>
      </c>
      <c r="AG268" s="117">
        <v>9527.58</v>
      </c>
      <c r="AH268" s="117">
        <v>14632.970000000001</v>
      </c>
      <c r="AI268" s="117">
        <v>6058.22</v>
      </c>
      <c r="AJ268" s="117">
        <v>13943.2</v>
      </c>
      <c r="AK268" s="117">
        <v>11163.67</v>
      </c>
      <c r="AL268" s="117">
        <v>13121.53</v>
      </c>
      <c r="AM268" s="117">
        <v>7695.87</v>
      </c>
      <c r="AN268" s="117">
        <v>11242.27</v>
      </c>
      <c r="AO268" s="150"/>
      <c r="AP268" s="117">
        <v>15540.42</v>
      </c>
      <c r="AQ268" s="117">
        <v>11512.92</v>
      </c>
      <c r="AR268" s="117">
        <v>-1466.39</v>
      </c>
      <c r="AS268" s="117">
        <v>0</v>
      </c>
      <c r="AT268" s="117">
        <v>0</v>
      </c>
      <c r="AU268" s="117">
        <v>0</v>
      </c>
      <c r="AV268" s="117">
        <v>0</v>
      </c>
      <c r="AW268" s="117">
        <v>0</v>
      </c>
      <c r="AX268" s="117">
        <v>0</v>
      </c>
      <c r="AY268" s="117">
        <v>0</v>
      </c>
      <c r="AZ268" s="117">
        <v>0</v>
      </c>
      <c r="BA268" s="117">
        <v>0</v>
      </c>
    </row>
    <row r="269" spans="1:53" s="138" customFormat="1" outlineLevel="2" x14ac:dyDescent="0.25">
      <c r="A269" s="138" t="s">
        <v>855</v>
      </c>
      <c r="B269" s="139" t="s">
        <v>856</v>
      </c>
      <c r="C269" s="140" t="s">
        <v>857</v>
      </c>
      <c r="D269" s="141"/>
      <c r="E269" s="142"/>
      <c r="F269" s="143">
        <v>0</v>
      </c>
      <c r="G269" s="143">
        <v>0</v>
      </c>
      <c r="H269" s="144">
        <f t="shared" si="66"/>
        <v>0</v>
      </c>
      <c r="I269" s="145">
        <f t="shared" si="67"/>
        <v>0</v>
      </c>
      <c r="J269" s="146"/>
      <c r="K269" s="143">
        <v>-4.03</v>
      </c>
      <c r="L269" s="143">
        <v>-2.27</v>
      </c>
      <c r="M269" s="144">
        <f t="shared" si="68"/>
        <v>-1.7600000000000002</v>
      </c>
      <c r="N269" s="145">
        <f t="shared" si="69"/>
        <v>-0.77533039647577107</v>
      </c>
      <c r="O269" s="147"/>
      <c r="P269" s="146"/>
      <c r="Q269" s="143">
        <v>-2.14</v>
      </c>
      <c r="R269" s="143">
        <v>-4.99</v>
      </c>
      <c r="S269" s="144">
        <f t="shared" si="70"/>
        <v>2.85</v>
      </c>
      <c r="T269" s="145">
        <f t="shared" si="71"/>
        <v>0.57114228456913829</v>
      </c>
      <c r="U269" s="146"/>
      <c r="V269" s="143">
        <v>57.45</v>
      </c>
      <c r="W269" s="143">
        <v>286.20000000000005</v>
      </c>
      <c r="X269" s="144">
        <f t="shared" si="72"/>
        <v>-228.75000000000006</v>
      </c>
      <c r="Y269" s="145">
        <f t="shared" si="73"/>
        <v>-0.79926624737945495</v>
      </c>
      <c r="Z269" s="148"/>
      <c r="AA269" s="149">
        <v>-2.72</v>
      </c>
      <c r="AB269" s="150"/>
      <c r="AC269" s="117">
        <v>-2.27</v>
      </c>
      <c r="AD269" s="117">
        <v>0</v>
      </c>
      <c r="AE269" s="117">
        <v>27.87</v>
      </c>
      <c r="AF269" s="117">
        <v>2.46</v>
      </c>
      <c r="AG269" s="117">
        <v>-2.2400000000000002</v>
      </c>
      <c r="AH269" s="117">
        <v>0</v>
      </c>
      <c r="AI269" s="117">
        <v>0</v>
      </c>
      <c r="AJ269" s="117">
        <v>48.15</v>
      </c>
      <c r="AK269" s="117">
        <v>-46.89</v>
      </c>
      <c r="AL269" s="117">
        <v>27.92</v>
      </c>
      <c r="AM269" s="117">
        <v>2.3199999999999998</v>
      </c>
      <c r="AN269" s="117">
        <v>1.8900000000000001</v>
      </c>
      <c r="AO269" s="150"/>
      <c r="AP269" s="117">
        <v>-4.03</v>
      </c>
      <c r="AQ269" s="117">
        <v>0</v>
      </c>
      <c r="AR269" s="117">
        <v>0</v>
      </c>
      <c r="AS269" s="117">
        <v>0</v>
      </c>
      <c r="AT269" s="117">
        <v>0</v>
      </c>
      <c r="AU269" s="117">
        <v>0</v>
      </c>
      <c r="AV269" s="117">
        <v>0</v>
      </c>
      <c r="AW269" s="117">
        <v>0</v>
      </c>
      <c r="AX269" s="117">
        <v>0</v>
      </c>
      <c r="AY269" s="117">
        <v>0</v>
      </c>
      <c r="AZ269" s="117">
        <v>0</v>
      </c>
      <c r="BA269" s="117">
        <v>0</v>
      </c>
    </row>
    <row r="270" spans="1:53" s="138" customFormat="1" outlineLevel="2" x14ac:dyDescent="0.25">
      <c r="A270" s="138" t="s">
        <v>858</v>
      </c>
      <c r="B270" s="139" t="s">
        <v>859</v>
      </c>
      <c r="C270" s="140" t="s">
        <v>860</v>
      </c>
      <c r="D270" s="141"/>
      <c r="E270" s="142"/>
      <c r="F270" s="143">
        <v>67920.88</v>
      </c>
      <c r="G270" s="143">
        <v>65547.63</v>
      </c>
      <c r="H270" s="144">
        <f t="shared" si="66"/>
        <v>2373.25</v>
      </c>
      <c r="I270" s="145">
        <f t="shared" si="67"/>
        <v>3.6206495948060975E-2</v>
      </c>
      <c r="J270" s="146"/>
      <c r="K270" s="143">
        <v>132787.19</v>
      </c>
      <c r="L270" s="143">
        <v>137565.93</v>
      </c>
      <c r="M270" s="144">
        <f t="shared" si="68"/>
        <v>-4778.7399999999907</v>
      </c>
      <c r="N270" s="145">
        <f t="shared" si="69"/>
        <v>-3.4737816260174234E-2</v>
      </c>
      <c r="O270" s="147"/>
      <c r="P270" s="146"/>
      <c r="Q270" s="143">
        <v>199506.49</v>
      </c>
      <c r="R270" s="143">
        <v>202846.15</v>
      </c>
      <c r="S270" s="144">
        <f t="shared" si="70"/>
        <v>-3339.6600000000035</v>
      </c>
      <c r="T270" s="145">
        <f t="shared" si="71"/>
        <v>-1.6464004862798743E-2</v>
      </c>
      <c r="U270" s="146"/>
      <c r="V270" s="143">
        <v>801877.84000000008</v>
      </c>
      <c r="W270" s="143">
        <v>706594.95</v>
      </c>
      <c r="X270" s="144">
        <f t="shared" si="72"/>
        <v>95282.89000000013</v>
      </c>
      <c r="Y270" s="145">
        <f t="shared" si="73"/>
        <v>0.13484796346195246</v>
      </c>
      <c r="Z270" s="148"/>
      <c r="AA270" s="149">
        <v>65280.22</v>
      </c>
      <c r="AB270" s="150"/>
      <c r="AC270" s="117">
        <v>72018.3</v>
      </c>
      <c r="AD270" s="117">
        <v>65547.63</v>
      </c>
      <c r="AE270" s="117">
        <v>76013.36</v>
      </c>
      <c r="AF270" s="117">
        <v>75851.100000000006</v>
      </c>
      <c r="AG270" s="117">
        <v>70313.33</v>
      </c>
      <c r="AH270" s="117">
        <v>66136.639999999999</v>
      </c>
      <c r="AI270" s="117">
        <v>55805.440000000002</v>
      </c>
      <c r="AJ270" s="117">
        <v>70126.790000000008</v>
      </c>
      <c r="AK270" s="117">
        <v>63925.71</v>
      </c>
      <c r="AL270" s="117">
        <v>64467.07</v>
      </c>
      <c r="AM270" s="117">
        <v>59731.91</v>
      </c>
      <c r="AN270" s="117">
        <v>66719.3</v>
      </c>
      <c r="AO270" s="150"/>
      <c r="AP270" s="117">
        <v>64866.310000000005</v>
      </c>
      <c r="AQ270" s="117">
        <v>67920.88</v>
      </c>
      <c r="AR270" s="117">
        <v>2565.81</v>
      </c>
      <c r="AS270" s="117">
        <v>0</v>
      </c>
      <c r="AT270" s="117">
        <v>0</v>
      </c>
      <c r="AU270" s="117">
        <v>0</v>
      </c>
      <c r="AV270" s="117">
        <v>0</v>
      </c>
      <c r="AW270" s="117">
        <v>0</v>
      </c>
      <c r="AX270" s="117">
        <v>0</v>
      </c>
      <c r="AY270" s="117">
        <v>0</v>
      </c>
      <c r="AZ270" s="117">
        <v>0</v>
      </c>
      <c r="BA270" s="117">
        <v>0</v>
      </c>
    </row>
    <row r="271" spans="1:53" s="138" customFormat="1" outlineLevel="2" x14ac:dyDescent="0.25">
      <c r="A271" s="138" t="s">
        <v>861</v>
      </c>
      <c r="B271" s="139" t="s">
        <v>862</v>
      </c>
      <c r="C271" s="140" t="s">
        <v>863</v>
      </c>
      <c r="D271" s="141"/>
      <c r="E271" s="142"/>
      <c r="F271" s="143">
        <v>0</v>
      </c>
      <c r="G271" s="143">
        <v>0</v>
      </c>
      <c r="H271" s="144">
        <f t="shared" si="66"/>
        <v>0</v>
      </c>
      <c r="I271" s="145">
        <f t="shared" si="67"/>
        <v>0</v>
      </c>
      <c r="J271" s="146"/>
      <c r="K271" s="143">
        <v>0</v>
      </c>
      <c r="L271" s="143">
        <v>0</v>
      </c>
      <c r="M271" s="144">
        <f t="shared" si="68"/>
        <v>0</v>
      </c>
      <c r="N271" s="145">
        <f t="shared" si="69"/>
        <v>0</v>
      </c>
      <c r="O271" s="147"/>
      <c r="P271" s="146"/>
      <c r="Q271" s="143">
        <v>0</v>
      </c>
      <c r="R271" s="143">
        <v>0</v>
      </c>
      <c r="S271" s="144">
        <f t="shared" si="70"/>
        <v>0</v>
      </c>
      <c r="T271" s="145">
        <f t="shared" si="71"/>
        <v>0</v>
      </c>
      <c r="U271" s="146"/>
      <c r="V271" s="143">
        <v>0</v>
      </c>
      <c r="W271" s="143">
        <v>521.54</v>
      </c>
      <c r="X271" s="144">
        <f t="shared" si="72"/>
        <v>-521.54</v>
      </c>
      <c r="Y271" s="145" t="str">
        <f t="shared" si="73"/>
        <v>N.M.</v>
      </c>
      <c r="Z271" s="148"/>
      <c r="AA271" s="149">
        <v>0</v>
      </c>
      <c r="AB271" s="150"/>
      <c r="AC271" s="117">
        <v>0</v>
      </c>
      <c r="AD271" s="117">
        <v>0</v>
      </c>
      <c r="AE271" s="117">
        <v>0</v>
      </c>
      <c r="AF271" s="117">
        <v>0</v>
      </c>
      <c r="AG271" s="117">
        <v>0</v>
      </c>
      <c r="AH271" s="117">
        <v>0</v>
      </c>
      <c r="AI271" s="117">
        <v>0</v>
      </c>
      <c r="AJ271" s="117">
        <v>0</v>
      </c>
      <c r="AK271" s="117">
        <v>0</v>
      </c>
      <c r="AL271" s="117">
        <v>0</v>
      </c>
      <c r="AM271" s="117">
        <v>0</v>
      </c>
      <c r="AN271" s="117">
        <v>0</v>
      </c>
      <c r="AO271" s="150"/>
      <c r="AP271" s="117">
        <v>0</v>
      </c>
      <c r="AQ271" s="117">
        <v>0</v>
      </c>
      <c r="AR271" s="117">
        <v>0</v>
      </c>
      <c r="AS271" s="117">
        <v>0</v>
      </c>
      <c r="AT271" s="117">
        <v>0</v>
      </c>
      <c r="AU271" s="117">
        <v>0</v>
      </c>
      <c r="AV271" s="117">
        <v>0</v>
      </c>
      <c r="AW271" s="117">
        <v>0</v>
      </c>
      <c r="AX271" s="117">
        <v>0</v>
      </c>
      <c r="AY271" s="117">
        <v>0</v>
      </c>
      <c r="AZ271" s="117">
        <v>0</v>
      </c>
      <c r="BA271" s="117">
        <v>0</v>
      </c>
    </row>
    <row r="272" spans="1:53" s="138" customFormat="1" outlineLevel="2" x14ac:dyDescent="0.25">
      <c r="A272" s="138" t="s">
        <v>864</v>
      </c>
      <c r="B272" s="139" t="s">
        <v>865</v>
      </c>
      <c r="C272" s="140" t="s">
        <v>866</v>
      </c>
      <c r="D272" s="141"/>
      <c r="E272" s="142"/>
      <c r="F272" s="143">
        <v>-108.79</v>
      </c>
      <c r="G272" s="143">
        <v>-61.52</v>
      </c>
      <c r="H272" s="144">
        <f t="shared" si="66"/>
        <v>-47.27</v>
      </c>
      <c r="I272" s="145">
        <f t="shared" si="67"/>
        <v>-0.76836801040312097</v>
      </c>
      <c r="J272" s="146"/>
      <c r="K272" s="143">
        <v>-0.44</v>
      </c>
      <c r="L272" s="143">
        <v>4.5600000000000005</v>
      </c>
      <c r="M272" s="144">
        <f t="shared" si="68"/>
        <v>-5.0000000000000009</v>
      </c>
      <c r="N272" s="145">
        <f t="shared" si="69"/>
        <v>-1.0964912280701755</v>
      </c>
      <c r="O272" s="147"/>
      <c r="P272" s="146"/>
      <c r="Q272" s="143">
        <v>-0.44</v>
      </c>
      <c r="R272" s="143">
        <v>9.14</v>
      </c>
      <c r="S272" s="144">
        <f t="shared" si="70"/>
        <v>-9.58</v>
      </c>
      <c r="T272" s="145">
        <f t="shared" si="71"/>
        <v>-1.0481400437636761</v>
      </c>
      <c r="U272" s="146"/>
      <c r="V272" s="143">
        <v>-11.84</v>
      </c>
      <c r="W272" s="143">
        <v>9.14</v>
      </c>
      <c r="X272" s="144">
        <f t="shared" si="72"/>
        <v>-20.98</v>
      </c>
      <c r="Y272" s="145">
        <f t="shared" si="73"/>
        <v>-2.2954048140043763</v>
      </c>
      <c r="Z272" s="148"/>
      <c r="AA272" s="149">
        <v>4.58</v>
      </c>
      <c r="AB272" s="150"/>
      <c r="AC272" s="117">
        <v>66.08</v>
      </c>
      <c r="AD272" s="117">
        <v>-61.52</v>
      </c>
      <c r="AE272" s="117">
        <v>-6.8900000000000006</v>
      </c>
      <c r="AF272" s="117">
        <v>-4.71</v>
      </c>
      <c r="AG272" s="117">
        <v>0.2</v>
      </c>
      <c r="AH272" s="117">
        <v>0</v>
      </c>
      <c r="AI272" s="117">
        <v>8.25</v>
      </c>
      <c r="AJ272" s="117">
        <v>-3.16</v>
      </c>
      <c r="AK272" s="117">
        <v>0.53</v>
      </c>
      <c r="AL272" s="117">
        <v>-5.62</v>
      </c>
      <c r="AM272" s="117">
        <v>0</v>
      </c>
      <c r="AN272" s="117">
        <v>0</v>
      </c>
      <c r="AO272" s="150"/>
      <c r="AP272" s="117">
        <v>108.35000000000001</v>
      </c>
      <c r="AQ272" s="117">
        <v>-108.79</v>
      </c>
      <c r="AR272" s="117">
        <v>0</v>
      </c>
      <c r="AS272" s="117">
        <v>0</v>
      </c>
      <c r="AT272" s="117">
        <v>0</v>
      </c>
      <c r="AU272" s="117">
        <v>0</v>
      </c>
      <c r="AV272" s="117">
        <v>0</v>
      </c>
      <c r="AW272" s="117">
        <v>0</v>
      </c>
      <c r="AX272" s="117">
        <v>0</v>
      </c>
      <c r="AY272" s="117">
        <v>0</v>
      </c>
      <c r="AZ272" s="117">
        <v>0</v>
      </c>
      <c r="BA272" s="117">
        <v>0</v>
      </c>
    </row>
    <row r="273" spans="1:53" s="138" customFormat="1" outlineLevel="2" x14ac:dyDescent="0.25">
      <c r="A273" s="138" t="s">
        <v>867</v>
      </c>
      <c r="B273" s="139" t="s">
        <v>868</v>
      </c>
      <c r="C273" s="140" t="s">
        <v>869</v>
      </c>
      <c r="D273" s="141"/>
      <c r="E273" s="142"/>
      <c r="F273" s="143">
        <v>1346696.19</v>
      </c>
      <c r="G273" s="143">
        <v>240857.06</v>
      </c>
      <c r="H273" s="144">
        <f t="shared" si="66"/>
        <v>1105839.1299999999</v>
      </c>
      <c r="I273" s="145">
        <f t="shared" si="67"/>
        <v>4.5912672437336894</v>
      </c>
      <c r="J273" s="146"/>
      <c r="K273" s="143">
        <v>2482589.2000000002</v>
      </c>
      <c r="L273" s="143">
        <v>475995.43</v>
      </c>
      <c r="M273" s="144">
        <f t="shared" si="68"/>
        <v>2006593.7700000003</v>
      </c>
      <c r="N273" s="145">
        <f t="shared" si="69"/>
        <v>4.2155736033011921</v>
      </c>
      <c r="O273" s="147"/>
      <c r="P273" s="146"/>
      <c r="Q273" s="143">
        <v>3146783.5900000003</v>
      </c>
      <c r="R273" s="143">
        <v>675288.33</v>
      </c>
      <c r="S273" s="144">
        <f t="shared" si="70"/>
        <v>2471495.2600000002</v>
      </c>
      <c r="T273" s="145">
        <f t="shared" si="71"/>
        <v>3.6599111078966824</v>
      </c>
      <c r="U273" s="146"/>
      <c r="V273" s="143">
        <v>7444262.4079999998</v>
      </c>
      <c r="W273" s="143">
        <v>2657740.8800000004</v>
      </c>
      <c r="X273" s="144">
        <f t="shared" si="72"/>
        <v>4786521.527999999</v>
      </c>
      <c r="Y273" s="145">
        <f t="shared" si="73"/>
        <v>1.8009737382675162</v>
      </c>
      <c r="Z273" s="148"/>
      <c r="AA273" s="149">
        <v>199292.9</v>
      </c>
      <c r="AB273" s="150"/>
      <c r="AC273" s="117">
        <v>235138.37</v>
      </c>
      <c r="AD273" s="117">
        <v>240857.06</v>
      </c>
      <c r="AE273" s="117">
        <v>216770.04</v>
      </c>
      <c r="AF273" s="117">
        <v>499095.39</v>
      </c>
      <c r="AG273" s="117">
        <v>422566.77799999999</v>
      </c>
      <c r="AH273" s="117">
        <v>490679.77</v>
      </c>
      <c r="AI273" s="117">
        <v>567986.46</v>
      </c>
      <c r="AJ273" s="117">
        <v>610226.27</v>
      </c>
      <c r="AK273" s="117">
        <v>599361.35</v>
      </c>
      <c r="AL273" s="117">
        <v>467301.02</v>
      </c>
      <c r="AM273" s="117">
        <v>423491.74</v>
      </c>
      <c r="AN273" s="117">
        <v>664194.39</v>
      </c>
      <c r="AO273" s="150"/>
      <c r="AP273" s="117">
        <v>1135893.01</v>
      </c>
      <c r="AQ273" s="117">
        <v>1346696.19</v>
      </c>
      <c r="AR273" s="117">
        <v>-299820.39</v>
      </c>
      <c r="AS273" s="117">
        <v>0</v>
      </c>
      <c r="AT273" s="117">
        <v>0</v>
      </c>
      <c r="AU273" s="117">
        <v>0</v>
      </c>
      <c r="AV273" s="117">
        <v>0</v>
      </c>
      <c r="AW273" s="117">
        <v>0</v>
      </c>
      <c r="AX273" s="117">
        <v>0</v>
      </c>
      <c r="AY273" s="117">
        <v>0</v>
      </c>
      <c r="AZ273" s="117">
        <v>0</v>
      </c>
      <c r="BA273" s="117">
        <v>0</v>
      </c>
    </row>
    <row r="274" spans="1:53" s="138" customFormat="1" outlineLevel="2" x14ac:dyDescent="0.25">
      <c r="A274" s="138" t="s">
        <v>870</v>
      </c>
      <c r="B274" s="139" t="s">
        <v>871</v>
      </c>
      <c r="C274" s="140" t="s">
        <v>872</v>
      </c>
      <c r="D274" s="141"/>
      <c r="E274" s="142"/>
      <c r="F274" s="143">
        <v>4100</v>
      </c>
      <c r="G274" s="143">
        <v>4560</v>
      </c>
      <c r="H274" s="144">
        <f t="shared" si="66"/>
        <v>-460</v>
      </c>
      <c r="I274" s="145">
        <f t="shared" si="67"/>
        <v>-0.10087719298245613</v>
      </c>
      <c r="J274" s="146"/>
      <c r="K274" s="143">
        <v>11254.25</v>
      </c>
      <c r="L274" s="143">
        <v>9610</v>
      </c>
      <c r="M274" s="144">
        <f t="shared" si="68"/>
        <v>1644.25</v>
      </c>
      <c r="N274" s="145">
        <f t="shared" si="69"/>
        <v>0.17109781477627473</v>
      </c>
      <c r="O274" s="147"/>
      <c r="P274" s="146"/>
      <c r="Q274" s="143">
        <v>11734.25</v>
      </c>
      <c r="R274" s="143">
        <v>30680</v>
      </c>
      <c r="S274" s="144">
        <f t="shared" si="70"/>
        <v>-18945.75</v>
      </c>
      <c r="T274" s="145">
        <f t="shared" si="71"/>
        <v>-0.61752770534550194</v>
      </c>
      <c r="U274" s="146"/>
      <c r="V274" s="143">
        <v>43336.76</v>
      </c>
      <c r="W274" s="143">
        <v>125993.52</v>
      </c>
      <c r="X274" s="144">
        <f t="shared" si="72"/>
        <v>-82656.760000000009</v>
      </c>
      <c r="Y274" s="145">
        <f t="shared" si="73"/>
        <v>-0.65603977093425125</v>
      </c>
      <c r="Z274" s="148"/>
      <c r="AA274" s="149">
        <v>21070</v>
      </c>
      <c r="AB274" s="150"/>
      <c r="AC274" s="117">
        <v>5050</v>
      </c>
      <c r="AD274" s="117">
        <v>4560</v>
      </c>
      <c r="AE274" s="117">
        <v>160</v>
      </c>
      <c r="AF274" s="117">
        <v>2677.5</v>
      </c>
      <c r="AG274" s="117">
        <v>160</v>
      </c>
      <c r="AH274" s="117">
        <v>160</v>
      </c>
      <c r="AI274" s="117">
        <v>0</v>
      </c>
      <c r="AJ274" s="117">
        <v>18635.010000000002</v>
      </c>
      <c r="AK274" s="117">
        <v>3389.9900000000002</v>
      </c>
      <c r="AL274" s="117">
        <v>5720.01</v>
      </c>
      <c r="AM274" s="117">
        <v>700</v>
      </c>
      <c r="AN274" s="117">
        <v>480</v>
      </c>
      <c r="AO274" s="150"/>
      <c r="AP274" s="117">
        <v>7154.25</v>
      </c>
      <c r="AQ274" s="117">
        <v>4100</v>
      </c>
      <c r="AR274" s="117">
        <v>0</v>
      </c>
      <c r="AS274" s="117">
        <v>0</v>
      </c>
      <c r="AT274" s="117">
        <v>0</v>
      </c>
      <c r="AU274" s="117">
        <v>0</v>
      </c>
      <c r="AV274" s="117">
        <v>0</v>
      </c>
      <c r="AW274" s="117">
        <v>0</v>
      </c>
      <c r="AX274" s="117">
        <v>0</v>
      </c>
      <c r="AY274" s="117">
        <v>0</v>
      </c>
      <c r="AZ274" s="117">
        <v>0</v>
      </c>
      <c r="BA274" s="117">
        <v>0</v>
      </c>
    </row>
    <row r="275" spans="1:53" s="138" customFormat="1" outlineLevel="2" x14ac:dyDescent="0.25">
      <c r="A275" s="138" t="s">
        <v>873</v>
      </c>
      <c r="B275" s="139" t="s">
        <v>874</v>
      </c>
      <c r="C275" s="140" t="s">
        <v>875</v>
      </c>
      <c r="D275" s="141"/>
      <c r="E275" s="142"/>
      <c r="F275" s="143">
        <v>4380.71</v>
      </c>
      <c r="G275" s="143">
        <v>1177.1500000000001</v>
      </c>
      <c r="H275" s="144">
        <f t="shared" si="66"/>
        <v>3203.56</v>
      </c>
      <c r="I275" s="145">
        <f t="shared" si="67"/>
        <v>2.721454360107038</v>
      </c>
      <c r="J275" s="146"/>
      <c r="K275" s="143">
        <v>9779.27</v>
      </c>
      <c r="L275" s="143">
        <v>3424.05</v>
      </c>
      <c r="M275" s="144">
        <f t="shared" si="68"/>
        <v>6355.22</v>
      </c>
      <c r="N275" s="145">
        <f t="shared" si="69"/>
        <v>1.8560535038915904</v>
      </c>
      <c r="O275" s="147"/>
      <c r="P275" s="146"/>
      <c r="Q275" s="143">
        <v>65756.28</v>
      </c>
      <c r="R275" s="143">
        <v>10630.650000000001</v>
      </c>
      <c r="S275" s="144">
        <f t="shared" si="70"/>
        <v>55125.63</v>
      </c>
      <c r="T275" s="145">
        <f t="shared" si="71"/>
        <v>5.1855371026230745</v>
      </c>
      <c r="U275" s="146"/>
      <c r="V275" s="143">
        <v>152862.62</v>
      </c>
      <c r="W275" s="143">
        <v>96045.89</v>
      </c>
      <c r="X275" s="144">
        <f t="shared" si="72"/>
        <v>56816.729999999996</v>
      </c>
      <c r="Y275" s="145">
        <f t="shared" si="73"/>
        <v>0.59155816037521225</v>
      </c>
      <c r="Z275" s="148"/>
      <c r="AA275" s="149">
        <v>7206.6</v>
      </c>
      <c r="AB275" s="150"/>
      <c r="AC275" s="117">
        <v>2246.9</v>
      </c>
      <c r="AD275" s="117">
        <v>1177.1500000000001</v>
      </c>
      <c r="AE275" s="117">
        <v>269.23</v>
      </c>
      <c r="AF275" s="117">
        <v>6467.62</v>
      </c>
      <c r="AG275" s="117">
        <v>5573.38</v>
      </c>
      <c r="AH275" s="117">
        <v>3386.6</v>
      </c>
      <c r="AI275" s="117">
        <v>2389.16</v>
      </c>
      <c r="AJ275" s="117">
        <v>15183.69</v>
      </c>
      <c r="AK275" s="117">
        <v>21133</v>
      </c>
      <c r="AL275" s="117">
        <v>24997.24</v>
      </c>
      <c r="AM275" s="117">
        <v>7706.42</v>
      </c>
      <c r="AN275" s="117">
        <v>55977.01</v>
      </c>
      <c r="AO275" s="150"/>
      <c r="AP275" s="117">
        <v>5398.56</v>
      </c>
      <c r="AQ275" s="117">
        <v>4380.71</v>
      </c>
      <c r="AR275" s="117">
        <v>0</v>
      </c>
      <c r="AS275" s="117">
        <v>0</v>
      </c>
      <c r="AT275" s="117">
        <v>0</v>
      </c>
      <c r="AU275" s="117">
        <v>0</v>
      </c>
      <c r="AV275" s="117">
        <v>0</v>
      </c>
      <c r="AW275" s="117">
        <v>0</v>
      </c>
      <c r="AX275" s="117">
        <v>0</v>
      </c>
      <c r="AY275" s="117">
        <v>0</v>
      </c>
      <c r="AZ275" s="117">
        <v>0</v>
      </c>
      <c r="BA275" s="117">
        <v>0</v>
      </c>
    </row>
    <row r="276" spans="1:53" s="138" customFormat="1" outlineLevel="2" x14ac:dyDescent="0.25">
      <c r="A276" s="138" t="s">
        <v>876</v>
      </c>
      <c r="B276" s="139" t="s">
        <v>877</v>
      </c>
      <c r="C276" s="140" t="s">
        <v>878</v>
      </c>
      <c r="D276" s="141"/>
      <c r="E276" s="142"/>
      <c r="F276" s="143">
        <v>261.77</v>
      </c>
      <c r="G276" s="143">
        <v>79</v>
      </c>
      <c r="H276" s="144">
        <f t="shared" si="66"/>
        <v>182.76999999999998</v>
      </c>
      <c r="I276" s="145">
        <f t="shared" si="67"/>
        <v>2.3135443037974683</v>
      </c>
      <c r="J276" s="146"/>
      <c r="K276" s="143">
        <v>598.83000000000004</v>
      </c>
      <c r="L276" s="143">
        <v>79</v>
      </c>
      <c r="M276" s="144">
        <f t="shared" si="68"/>
        <v>519.83000000000004</v>
      </c>
      <c r="N276" s="145">
        <f t="shared" si="69"/>
        <v>6.5801265822784814</v>
      </c>
      <c r="O276" s="147"/>
      <c r="P276" s="146"/>
      <c r="Q276" s="143">
        <v>840.45</v>
      </c>
      <c r="R276" s="143">
        <v>79</v>
      </c>
      <c r="S276" s="144">
        <f t="shared" si="70"/>
        <v>761.45</v>
      </c>
      <c r="T276" s="145">
        <f t="shared" si="71"/>
        <v>9.63860759493671</v>
      </c>
      <c r="U276" s="146"/>
      <c r="V276" s="143">
        <v>1523.14</v>
      </c>
      <c r="W276" s="143">
        <v>83.73</v>
      </c>
      <c r="X276" s="144">
        <f t="shared" si="72"/>
        <v>1439.41</v>
      </c>
      <c r="Y276" s="145" t="str">
        <f t="shared" si="73"/>
        <v>N.M.</v>
      </c>
      <c r="Z276" s="148"/>
      <c r="AA276" s="149">
        <v>0</v>
      </c>
      <c r="AB276" s="150"/>
      <c r="AC276" s="117">
        <v>0</v>
      </c>
      <c r="AD276" s="117">
        <v>79</v>
      </c>
      <c r="AE276" s="117">
        <v>0</v>
      </c>
      <c r="AF276" s="117">
        <v>0</v>
      </c>
      <c r="AG276" s="117">
        <v>0</v>
      </c>
      <c r="AH276" s="117">
        <v>0</v>
      </c>
      <c r="AI276" s="117">
        <v>0</v>
      </c>
      <c r="AJ276" s="117">
        <v>0</v>
      </c>
      <c r="AK276" s="117">
        <v>0</v>
      </c>
      <c r="AL276" s="117">
        <v>0</v>
      </c>
      <c r="AM276" s="117">
        <v>682.69</v>
      </c>
      <c r="AN276" s="117">
        <v>241.62</v>
      </c>
      <c r="AO276" s="150"/>
      <c r="AP276" s="117">
        <v>337.06</v>
      </c>
      <c r="AQ276" s="117">
        <v>261.77</v>
      </c>
      <c r="AR276" s="117">
        <v>0</v>
      </c>
      <c r="AS276" s="117">
        <v>0</v>
      </c>
      <c r="AT276" s="117">
        <v>0</v>
      </c>
      <c r="AU276" s="117">
        <v>0</v>
      </c>
      <c r="AV276" s="117">
        <v>0</v>
      </c>
      <c r="AW276" s="117">
        <v>0</v>
      </c>
      <c r="AX276" s="117">
        <v>0</v>
      </c>
      <c r="AY276" s="117">
        <v>0</v>
      </c>
      <c r="AZ276" s="117">
        <v>0</v>
      </c>
      <c r="BA276" s="117">
        <v>0</v>
      </c>
    </row>
    <row r="277" spans="1:53" s="138" customFormat="1" outlineLevel="2" x14ac:dyDescent="0.25">
      <c r="A277" s="138" t="s">
        <v>879</v>
      </c>
      <c r="B277" s="139" t="s">
        <v>880</v>
      </c>
      <c r="C277" s="140" t="s">
        <v>881</v>
      </c>
      <c r="D277" s="141"/>
      <c r="E277" s="142"/>
      <c r="F277" s="143">
        <v>0</v>
      </c>
      <c r="G277" s="143">
        <v>-24.82</v>
      </c>
      <c r="H277" s="144">
        <f t="shared" si="66"/>
        <v>24.82</v>
      </c>
      <c r="I277" s="145" t="str">
        <f t="shared" si="67"/>
        <v>N.M.</v>
      </c>
      <c r="J277" s="146"/>
      <c r="K277" s="143">
        <v>0</v>
      </c>
      <c r="L277" s="143">
        <v>-10.99</v>
      </c>
      <c r="M277" s="144">
        <f t="shared" si="68"/>
        <v>10.99</v>
      </c>
      <c r="N277" s="145" t="str">
        <f t="shared" si="69"/>
        <v>N.M.</v>
      </c>
      <c r="O277" s="147"/>
      <c r="P277" s="146"/>
      <c r="Q277" s="143">
        <v>0</v>
      </c>
      <c r="R277" s="143">
        <v>-10.99</v>
      </c>
      <c r="S277" s="144">
        <f t="shared" si="70"/>
        <v>10.99</v>
      </c>
      <c r="T277" s="145" t="str">
        <f t="shared" si="71"/>
        <v>N.M.</v>
      </c>
      <c r="U277" s="146"/>
      <c r="V277" s="143">
        <v>10.99</v>
      </c>
      <c r="W277" s="143">
        <v>-10.57</v>
      </c>
      <c r="X277" s="144">
        <f t="shared" si="72"/>
        <v>21.560000000000002</v>
      </c>
      <c r="Y277" s="145">
        <f t="shared" si="73"/>
        <v>2.0397350993377485</v>
      </c>
      <c r="Z277" s="148"/>
      <c r="AA277" s="149">
        <v>0</v>
      </c>
      <c r="AB277" s="150"/>
      <c r="AC277" s="117">
        <v>13.83</v>
      </c>
      <c r="AD277" s="117">
        <v>-24.82</v>
      </c>
      <c r="AE277" s="117">
        <v>10.99</v>
      </c>
      <c r="AF277" s="117">
        <v>0</v>
      </c>
      <c r="AG277" s="117">
        <v>0</v>
      </c>
      <c r="AH277" s="117">
        <v>0</v>
      </c>
      <c r="AI277" s="117">
        <v>0</v>
      </c>
      <c r="AJ277" s="117">
        <v>0</v>
      </c>
      <c r="AK277" s="117">
        <v>0</v>
      </c>
      <c r="AL277" s="117">
        <v>0</v>
      </c>
      <c r="AM277" s="117">
        <v>0</v>
      </c>
      <c r="AN277" s="117">
        <v>0</v>
      </c>
      <c r="AO277" s="150"/>
      <c r="AP277" s="117">
        <v>0</v>
      </c>
      <c r="AQ277" s="117">
        <v>0</v>
      </c>
      <c r="AR277" s="117">
        <v>0</v>
      </c>
      <c r="AS277" s="117">
        <v>0</v>
      </c>
      <c r="AT277" s="117">
        <v>0</v>
      </c>
      <c r="AU277" s="117">
        <v>0</v>
      </c>
      <c r="AV277" s="117">
        <v>0</v>
      </c>
      <c r="AW277" s="117">
        <v>0</v>
      </c>
      <c r="AX277" s="117">
        <v>0</v>
      </c>
      <c r="AY277" s="117">
        <v>0</v>
      </c>
      <c r="AZ277" s="117">
        <v>0</v>
      </c>
      <c r="BA277" s="117">
        <v>0</v>
      </c>
    </row>
    <row r="278" spans="1:53" s="138" customFormat="1" outlineLevel="2" x14ac:dyDescent="0.25">
      <c r="A278" s="138" t="s">
        <v>882</v>
      </c>
      <c r="B278" s="139" t="s">
        <v>883</v>
      </c>
      <c r="C278" s="140" t="s">
        <v>884</v>
      </c>
      <c r="D278" s="141"/>
      <c r="E278" s="142"/>
      <c r="F278" s="143">
        <v>27</v>
      </c>
      <c r="G278" s="143">
        <v>0</v>
      </c>
      <c r="H278" s="144">
        <f t="shared" si="66"/>
        <v>27</v>
      </c>
      <c r="I278" s="145" t="str">
        <f t="shared" si="67"/>
        <v>N.M.</v>
      </c>
      <c r="J278" s="146"/>
      <c r="K278" s="143">
        <v>43.46</v>
      </c>
      <c r="L278" s="143">
        <v>0</v>
      </c>
      <c r="M278" s="144">
        <f t="shared" si="68"/>
        <v>43.46</v>
      </c>
      <c r="N278" s="145" t="str">
        <f t="shared" si="69"/>
        <v>N.M.</v>
      </c>
      <c r="O278" s="147"/>
      <c r="P278" s="146"/>
      <c r="Q278" s="143">
        <v>43.82</v>
      </c>
      <c r="R278" s="143">
        <v>24.69</v>
      </c>
      <c r="S278" s="144">
        <f t="shared" si="70"/>
        <v>19.13</v>
      </c>
      <c r="T278" s="145">
        <f t="shared" si="71"/>
        <v>0.77480761441879298</v>
      </c>
      <c r="U278" s="146"/>
      <c r="V278" s="143">
        <v>153.71</v>
      </c>
      <c r="W278" s="143">
        <v>457.34000000000003</v>
      </c>
      <c r="X278" s="144">
        <f t="shared" si="72"/>
        <v>-303.63</v>
      </c>
      <c r="Y278" s="145">
        <f t="shared" si="73"/>
        <v>-0.66390431626361124</v>
      </c>
      <c r="Z278" s="148"/>
      <c r="AA278" s="149">
        <v>24.69</v>
      </c>
      <c r="AB278" s="150"/>
      <c r="AC278" s="117">
        <v>0</v>
      </c>
      <c r="AD278" s="117">
        <v>0</v>
      </c>
      <c r="AE278" s="117">
        <v>23.26</v>
      </c>
      <c r="AF278" s="117">
        <v>0.18</v>
      </c>
      <c r="AG278" s="117">
        <v>0</v>
      </c>
      <c r="AH278" s="117">
        <v>0</v>
      </c>
      <c r="AI278" s="117">
        <v>0</v>
      </c>
      <c r="AJ278" s="117">
        <v>0</v>
      </c>
      <c r="AK278" s="117">
        <v>0</v>
      </c>
      <c r="AL278" s="117">
        <v>0</v>
      </c>
      <c r="AM278" s="117">
        <v>86.45</v>
      </c>
      <c r="AN278" s="117">
        <v>0.36</v>
      </c>
      <c r="AO278" s="150"/>
      <c r="AP278" s="117">
        <v>16.46</v>
      </c>
      <c r="AQ278" s="117">
        <v>27</v>
      </c>
      <c r="AR278" s="117">
        <v>0</v>
      </c>
      <c r="AS278" s="117">
        <v>0</v>
      </c>
      <c r="AT278" s="117">
        <v>0</v>
      </c>
      <c r="AU278" s="117">
        <v>0</v>
      </c>
      <c r="AV278" s="117">
        <v>0</v>
      </c>
      <c r="AW278" s="117">
        <v>0</v>
      </c>
      <c r="AX278" s="117">
        <v>0</v>
      </c>
      <c r="AY278" s="117">
        <v>0</v>
      </c>
      <c r="AZ278" s="117">
        <v>0</v>
      </c>
      <c r="BA278" s="117">
        <v>0</v>
      </c>
    </row>
    <row r="279" spans="1:53" s="138" customFormat="1" outlineLevel="2" x14ac:dyDescent="0.25">
      <c r="A279" s="138" t="s">
        <v>885</v>
      </c>
      <c r="B279" s="139" t="s">
        <v>886</v>
      </c>
      <c r="C279" s="140" t="s">
        <v>887</v>
      </c>
      <c r="D279" s="141"/>
      <c r="E279" s="142"/>
      <c r="F279" s="143">
        <v>2728.53</v>
      </c>
      <c r="G279" s="143">
        <v>2887.51</v>
      </c>
      <c r="H279" s="144">
        <f t="shared" si="66"/>
        <v>-158.98000000000002</v>
      </c>
      <c r="I279" s="145">
        <f t="shared" si="67"/>
        <v>-5.5057817981582748E-2</v>
      </c>
      <c r="J279" s="146"/>
      <c r="K279" s="143">
        <v>3226.9900000000002</v>
      </c>
      <c r="L279" s="143">
        <v>4062.84</v>
      </c>
      <c r="M279" s="144">
        <f t="shared" si="68"/>
        <v>-835.84999999999991</v>
      </c>
      <c r="N279" s="145">
        <f t="shared" si="69"/>
        <v>-0.20573047424953969</v>
      </c>
      <c r="O279" s="147"/>
      <c r="P279" s="146"/>
      <c r="Q279" s="143">
        <v>30205.190000000002</v>
      </c>
      <c r="R279" s="143">
        <v>20417.120000000003</v>
      </c>
      <c r="S279" s="144">
        <f t="shared" si="70"/>
        <v>9788.07</v>
      </c>
      <c r="T279" s="145">
        <f t="shared" si="71"/>
        <v>0.47940502872099483</v>
      </c>
      <c r="U279" s="146"/>
      <c r="V279" s="143">
        <v>59220.08</v>
      </c>
      <c r="W279" s="143">
        <v>46272.83</v>
      </c>
      <c r="X279" s="144">
        <f t="shared" si="72"/>
        <v>12947.25</v>
      </c>
      <c r="Y279" s="145">
        <f t="shared" si="73"/>
        <v>0.27980242401426497</v>
      </c>
      <c r="Z279" s="148"/>
      <c r="AA279" s="149">
        <v>16354.28</v>
      </c>
      <c r="AB279" s="150"/>
      <c r="AC279" s="117">
        <v>1175.33</v>
      </c>
      <c r="AD279" s="117">
        <v>2887.51</v>
      </c>
      <c r="AE279" s="117">
        <v>2004.18</v>
      </c>
      <c r="AF279" s="117">
        <v>6493.12</v>
      </c>
      <c r="AG279" s="117">
        <v>2822.35</v>
      </c>
      <c r="AH279" s="117">
        <v>2382.83</v>
      </c>
      <c r="AI279" s="117">
        <v>2010.49</v>
      </c>
      <c r="AJ279" s="117">
        <v>1890.83</v>
      </c>
      <c r="AK279" s="117">
        <v>5723.22</v>
      </c>
      <c r="AL279" s="117">
        <v>1797.67</v>
      </c>
      <c r="AM279" s="117">
        <v>3890.2000000000003</v>
      </c>
      <c r="AN279" s="117">
        <v>26978.2</v>
      </c>
      <c r="AO279" s="150"/>
      <c r="AP279" s="117">
        <v>498.46000000000004</v>
      </c>
      <c r="AQ279" s="117">
        <v>2728.53</v>
      </c>
      <c r="AR279" s="117">
        <v>0</v>
      </c>
      <c r="AS279" s="117">
        <v>0</v>
      </c>
      <c r="AT279" s="117">
        <v>0</v>
      </c>
      <c r="AU279" s="117">
        <v>0</v>
      </c>
      <c r="AV279" s="117">
        <v>0</v>
      </c>
      <c r="AW279" s="117">
        <v>0</v>
      </c>
      <c r="AX279" s="117">
        <v>0</v>
      </c>
      <c r="AY279" s="117">
        <v>0</v>
      </c>
      <c r="AZ279" s="117">
        <v>0</v>
      </c>
      <c r="BA279" s="117">
        <v>0</v>
      </c>
    </row>
    <row r="280" spans="1:53" s="138" customFormat="1" outlineLevel="2" x14ac:dyDescent="0.25">
      <c r="A280" s="138" t="s">
        <v>888</v>
      </c>
      <c r="B280" s="139" t="s">
        <v>889</v>
      </c>
      <c r="C280" s="140" t="s">
        <v>890</v>
      </c>
      <c r="D280" s="141"/>
      <c r="E280" s="142"/>
      <c r="F280" s="143">
        <v>1348.22</v>
      </c>
      <c r="G280" s="143">
        <v>0</v>
      </c>
      <c r="H280" s="144">
        <f t="shared" si="66"/>
        <v>1348.22</v>
      </c>
      <c r="I280" s="145" t="str">
        <f t="shared" si="67"/>
        <v>N.M.</v>
      </c>
      <c r="J280" s="146"/>
      <c r="K280" s="143">
        <v>1348.22</v>
      </c>
      <c r="L280" s="143">
        <v>0</v>
      </c>
      <c r="M280" s="144">
        <f t="shared" si="68"/>
        <v>1348.22</v>
      </c>
      <c r="N280" s="145" t="str">
        <f t="shared" si="69"/>
        <v>N.M.</v>
      </c>
      <c r="O280" s="147"/>
      <c r="P280" s="146"/>
      <c r="Q280" s="143">
        <v>1348.22</v>
      </c>
      <c r="R280" s="143">
        <v>0</v>
      </c>
      <c r="S280" s="144">
        <f t="shared" si="70"/>
        <v>1348.22</v>
      </c>
      <c r="T280" s="145" t="str">
        <f t="shared" si="71"/>
        <v>N.M.</v>
      </c>
      <c r="U280" s="146"/>
      <c r="V280" s="143">
        <v>1348.22</v>
      </c>
      <c r="W280" s="143">
        <v>77.52</v>
      </c>
      <c r="X280" s="144">
        <f t="shared" si="72"/>
        <v>1270.7</v>
      </c>
      <c r="Y280" s="145" t="str">
        <f t="shared" si="73"/>
        <v>N.M.</v>
      </c>
      <c r="Z280" s="148"/>
      <c r="AA280" s="149">
        <v>0</v>
      </c>
      <c r="AB280" s="150"/>
      <c r="AC280" s="117">
        <v>0</v>
      </c>
      <c r="AD280" s="117">
        <v>0</v>
      </c>
      <c r="AE280" s="117">
        <v>0</v>
      </c>
      <c r="AF280" s="117">
        <v>0</v>
      </c>
      <c r="AG280" s="117">
        <v>0</v>
      </c>
      <c r="AH280" s="117">
        <v>0</v>
      </c>
      <c r="AI280" s="117">
        <v>0</v>
      </c>
      <c r="AJ280" s="117">
        <v>0</v>
      </c>
      <c r="AK280" s="117">
        <v>0</v>
      </c>
      <c r="AL280" s="117">
        <v>0</v>
      </c>
      <c r="AM280" s="117">
        <v>0</v>
      </c>
      <c r="AN280" s="117">
        <v>0</v>
      </c>
      <c r="AO280" s="150"/>
      <c r="AP280" s="117">
        <v>0</v>
      </c>
      <c r="AQ280" s="117">
        <v>1348.22</v>
      </c>
      <c r="AR280" s="117">
        <v>0</v>
      </c>
      <c r="AS280" s="117">
        <v>0</v>
      </c>
      <c r="AT280" s="117">
        <v>0</v>
      </c>
      <c r="AU280" s="117">
        <v>0</v>
      </c>
      <c r="AV280" s="117">
        <v>0</v>
      </c>
      <c r="AW280" s="117">
        <v>0</v>
      </c>
      <c r="AX280" s="117">
        <v>0</v>
      </c>
      <c r="AY280" s="117">
        <v>0</v>
      </c>
      <c r="AZ280" s="117">
        <v>0</v>
      </c>
      <c r="BA280" s="117">
        <v>0</v>
      </c>
    </row>
    <row r="281" spans="1:53" s="138" customFormat="1" outlineLevel="2" x14ac:dyDescent="0.25">
      <c r="A281" s="138" t="s">
        <v>891</v>
      </c>
      <c r="B281" s="139" t="s">
        <v>892</v>
      </c>
      <c r="C281" s="140" t="s">
        <v>893</v>
      </c>
      <c r="D281" s="141"/>
      <c r="E281" s="142"/>
      <c r="F281" s="143">
        <v>0</v>
      </c>
      <c r="G281" s="143">
        <v>0</v>
      </c>
      <c r="H281" s="144">
        <f t="shared" si="66"/>
        <v>0</v>
      </c>
      <c r="I281" s="145">
        <f t="shared" si="67"/>
        <v>0</v>
      </c>
      <c r="J281" s="146"/>
      <c r="K281" s="143">
        <v>900</v>
      </c>
      <c r="L281" s="143">
        <v>0</v>
      </c>
      <c r="M281" s="144">
        <f t="shared" si="68"/>
        <v>900</v>
      </c>
      <c r="N281" s="145" t="str">
        <f t="shared" si="69"/>
        <v>N.M.</v>
      </c>
      <c r="O281" s="147"/>
      <c r="P281" s="146"/>
      <c r="Q281" s="143">
        <v>900</v>
      </c>
      <c r="R281" s="143">
        <v>0</v>
      </c>
      <c r="S281" s="144">
        <f t="shared" si="70"/>
        <v>900</v>
      </c>
      <c r="T281" s="145" t="str">
        <f t="shared" si="71"/>
        <v>N.M.</v>
      </c>
      <c r="U281" s="146"/>
      <c r="V281" s="143">
        <v>900</v>
      </c>
      <c r="W281" s="143">
        <v>0</v>
      </c>
      <c r="X281" s="144">
        <f t="shared" si="72"/>
        <v>900</v>
      </c>
      <c r="Y281" s="145" t="str">
        <f t="shared" si="73"/>
        <v>N.M.</v>
      </c>
      <c r="Z281" s="148"/>
      <c r="AA281" s="149">
        <v>0</v>
      </c>
      <c r="AB281" s="150"/>
      <c r="AC281" s="117">
        <v>0</v>
      </c>
      <c r="AD281" s="117">
        <v>0</v>
      </c>
      <c r="AE281" s="117">
        <v>0</v>
      </c>
      <c r="AF281" s="117">
        <v>0</v>
      </c>
      <c r="AG281" s="117">
        <v>0</v>
      </c>
      <c r="AH281" s="117">
        <v>0</v>
      </c>
      <c r="AI281" s="117">
        <v>0</v>
      </c>
      <c r="AJ281" s="117">
        <v>0</v>
      </c>
      <c r="AK281" s="117">
        <v>0</v>
      </c>
      <c r="AL281" s="117">
        <v>0</v>
      </c>
      <c r="AM281" s="117">
        <v>0</v>
      </c>
      <c r="AN281" s="117">
        <v>0</v>
      </c>
      <c r="AO281" s="150"/>
      <c r="AP281" s="117">
        <v>900</v>
      </c>
      <c r="AQ281" s="117">
        <v>0</v>
      </c>
      <c r="AR281" s="117">
        <v>0</v>
      </c>
      <c r="AS281" s="117">
        <v>0</v>
      </c>
      <c r="AT281" s="117">
        <v>0</v>
      </c>
      <c r="AU281" s="117">
        <v>0</v>
      </c>
      <c r="AV281" s="117">
        <v>0</v>
      </c>
      <c r="AW281" s="117">
        <v>0</v>
      </c>
      <c r="AX281" s="117">
        <v>0</v>
      </c>
      <c r="AY281" s="117">
        <v>0</v>
      </c>
      <c r="AZ281" s="117">
        <v>0</v>
      </c>
      <c r="BA281" s="117">
        <v>0</v>
      </c>
    </row>
    <row r="282" spans="1:53" s="138" customFormat="1" outlineLevel="2" x14ac:dyDescent="0.25">
      <c r="A282" s="138" t="s">
        <v>894</v>
      </c>
      <c r="B282" s="139" t="s">
        <v>895</v>
      </c>
      <c r="C282" s="140" t="s">
        <v>896</v>
      </c>
      <c r="D282" s="141"/>
      <c r="E282" s="142"/>
      <c r="F282" s="143">
        <v>0</v>
      </c>
      <c r="G282" s="143">
        <v>95.17</v>
      </c>
      <c r="H282" s="144">
        <f t="shared" si="66"/>
        <v>-95.17</v>
      </c>
      <c r="I282" s="145" t="str">
        <f t="shared" si="67"/>
        <v>N.M.</v>
      </c>
      <c r="J282" s="146"/>
      <c r="K282" s="143">
        <v>113.34</v>
      </c>
      <c r="L282" s="143">
        <v>95.17</v>
      </c>
      <c r="M282" s="144">
        <f t="shared" si="68"/>
        <v>18.170000000000002</v>
      </c>
      <c r="N282" s="145">
        <f t="shared" si="69"/>
        <v>0.1909215088788484</v>
      </c>
      <c r="O282" s="147"/>
      <c r="P282" s="146"/>
      <c r="Q282" s="143">
        <v>177.94</v>
      </c>
      <c r="R282" s="143">
        <v>95.17</v>
      </c>
      <c r="S282" s="144">
        <f t="shared" si="70"/>
        <v>82.77</v>
      </c>
      <c r="T282" s="145">
        <f t="shared" si="71"/>
        <v>0.86970684039087942</v>
      </c>
      <c r="U282" s="146"/>
      <c r="V282" s="143">
        <v>8901.67</v>
      </c>
      <c r="W282" s="143">
        <v>95.17</v>
      </c>
      <c r="X282" s="144">
        <f t="shared" si="72"/>
        <v>8806.5</v>
      </c>
      <c r="Y282" s="145" t="str">
        <f t="shared" si="73"/>
        <v>N.M.</v>
      </c>
      <c r="Z282" s="148"/>
      <c r="AA282" s="149">
        <v>0</v>
      </c>
      <c r="AB282" s="150"/>
      <c r="AC282" s="117">
        <v>0</v>
      </c>
      <c r="AD282" s="117">
        <v>95.17</v>
      </c>
      <c r="AE282" s="117">
        <v>0</v>
      </c>
      <c r="AF282" s="117">
        <v>0</v>
      </c>
      <c r="AG282" s="117">
        <v>0</v>
      </c>
      <c r="AH282" s="117">
        <v>2020.76</v>
      </c>
      <c r="AI282" s="117">
        <v>657.49</v>
      </c>
      <c r="AJ282" s="117">
        <v>860.27</v>
      </c>
      <c r="AK282" s="117">
        <v>1224.8500000000001</v>
      </c>
      <c r="AL282" s="117">
        <v>1386.02</v>
      </c>
      <c r="AM282" s="117">
        <v>2574.34</v>
      </c>
      <c r="AN282" s="117">
        <v>64.599999999999994</v>
      </c>
      <c r="AO282" s="150"/>
      <c r="AP282" s="117">
        <v>113.34</v>
      </c>
      <c r="AQ282" s="117">
        <v>0</v>
      </c>
      <c r="AR282" s="117">
        <v>75</v>
      </c>
      <c r="AS282" s="117">
        <v>0</v>
      </c>
      <c r="AT282" s="117">
        <v>0</v>
      </c>
      <c r="AU282" s="117">
        <v>0</v>
      </c>
      <c r="AV282" s="117">
        <v>0</v>
      </c>
      <c r="AW282" s="117">
        <v>0</v>
      </c>
      <c r="AX282" s="117">
        <v>0</v>
      </c>
      <c r="AY282" s="117">
        <v>0</v>
      </c>
      <c r="AZ282" s="117">
        <v>0</v>
      </c>
      <c r="BA282" s="117">
        <v>0</v>
      </c>
    </row>
    <row r="283" spans="1:53" s="138" customFormat="1" outlineLevel="2" x14ac:dyDescent="0.25">
      <c r="A283" s="138" t="s">
        <v>897</v>
      </c>
      <c r="B283" s="139" t="s">
        <v>898</v>
      </c>
      <c r="C283" s="140" t="s">
        <v>899</v>
      </c>
      <c r="D283" s="141"/>
      <c r="E283" s="142"/>
      <c r="F283" s="143">
        <v>0</v>
      </c>
      <c r="G283" s="143">
        <v>0</v>
      </c>
      <c r="H283" s="144">
        <f t="shared" si="66"/>
        <v>0</v>
      </c>
      <c r="I283" s="145">
        <f t="shared" si="67"/>
        <v>0</v>
      </c>
      <c r="J283" s="146"/>
      <c r="K283" s="143">
        <v>0</v>
      </c>
      <c r="L283" s="143">
        <v>0</v>
      </c>
      <c r="M283" s="144">
        <f t="shared" si="68"/>
        <v>0</v>
      </c>
      <c r="N283" s="145">
        <f t="shared" si="69"/>
        <v>0</v>
      </c>
      <c r="O283" s="147"/>
      <c r="P283" s="146"/>
      <c r="Q283" s="143">
        <v>0</v>
      </c>
      <c r="R283" s="143">
        <v>0</v>
      </c>
      <c r="S283" s="144">
        <f t="shared" si="70"/>
        <v>0</v>
      </c>
      <c r="T283" s="145">
        <f t="shared" si="71"/>
        <v>0</v>
      </c>
      <c r="U283" s="146"/>
      <c r="V283" s="143">
        <v>25000</v>
      </c>
      <c r="W283" s="143">
        <v>0</v>
      </c>
      <c r="X283" s="144">
        <f t="shared" si="72"/>
        <v>25000</v>
      </c>
      <c r="Y283" s="145" t="str">
        <f t="shared" si="73"/>
        <v>N.M.</v>
      </c>
      <c r="Z283" s="148"/>
      <c r="AA283" s="149">
        <v>0</v>
      </c>
      <c r="AB283" s="150"/>
      <c r="AC283" s="117">
        <v>0</v>
      </c>
      <c r="AD283" s="117">
        <v>0</v>
      </c>
      <c r="AE283" s="117">
        <v>0</v>
      </c>
      <c r="AF283" s="117">
        <v>0</v>
      </c>
      <c r="AG283" s="117">
        <v>0</v>
      </c>
      <c r="AH283" s="117">
        <v>25000</v>
      </c>
      <c r="AI283" s="117">
        <v>0</v>
      </c>
      <c r="AJ283" s="117">
        <v>0</v>
      </c>
      <c r="AK283" s="117">
        <v>0</v>
      </c>
      <c r="AL283" s="117">
        <v>0</v>
      </c>
      <c r="AM283" s="117">
        <v>0</v>
      </c>
      <c r="AN283" s="117">
        <v>0</v>
      </c>
      <c r="AO283" s="150"/>
      <c r="AP283" s="117">
        <v>0</v>
      </c>
      <c r="AQ283" s="117">
        <v>0</v>
      </c>
      <c r="AR283" s="117">
        <v>0</v>
      </c>
      <c r="AS283" s="117">
        <v>0</v>
      </c>
      <c r="AT283" s="117">
        <v>0</v>
      </c>
      <c r="AU283" s="117">
        <v>0</v>
      </c>
      <c r="AV283" s="117">
        <v>0</v>
      </c>
      <c r="AW283" s="117">
        <v>0</v>
      </c>
      <c r="AX283" s="117">
        <v>0</v>
      </c>
      <c r="AY283" s="117">
        <v>0</v>
      </c>
      <c r="AZ283" s="117">
        <v>0</v>
      </c>
      <c r="BA283" s="117">
        <v>0</v>
      </c>
    </row>
    <row r="284" spans="1:53" s="211" customFormat="1" outlineLevel="1" x14ac:dyDescent="0.25">
      <c r="A284" s="211" t="s">
        <v>900</v>
      </c>
      <c r="B284" s="212"/>
      <c r="C284" s="213" t="s">
        <v>901</v>
      </c>
      <c r="D284" s="229"/>
      <c r="E284" s="229"/>
      <c r="F284" s="215">
        <v>1438867.43</v>
      </c>
      <c r="G284" s="215">
        <v>320774.88</v>
      </c>
      <c r="H284" s="236">
        <f t="shared" si="66"/>
        <v>1118092.5499999998</v>
      </c>
      <c r="I284" s="237">
        <f t="shared" si="67"/>
        <v>3.4855988411561398</v>
      </c>
      <c r="J284" s="231"/>
      <c r="K284" s="215">
        <v>2669689.6200000006</v>
      </c>
      <c r="L284" s="215">
        <v>641772.20000000007</v>
      </c>
      <c r="M284" s="236">
        <f t="shared" si="68"/>
        <v>2027917.4200000004</v>
      </c>
      <c r="N284" s="232">
        <f t="shared" si="69"/>
        <v>3.1598710882147905</v>
      </c>
      <c r="O284" s="233"/>
      <c r="P284" s="233"/>
      <c r="Q284" s="215">
        <v>3495589.2600000007</v>
      </c>
      <c r="R284" s="215">
        <v>956410.14</v>
      </c>
      <c r="S284" s="236">
        <f t="shared" si="70"/>
        <v>2539179.1200000006</v>
      </c>
      <c r="T284" s="237">
        <f t="shared" si="71"/>
        <v>2.6549061054496983</v>
      </c>
      <c r="U284" s="233"/>
      <c r="V284" s="215">
        <v>8665614.2880000006</v>
      </c>
      <c r="W284" s="215">
        <v>3730881.7199999997</v>
      </c>
      <c r="X284" s="236">
        <f t="shared" si="72"/>
        <v>4934732.5680000009</v>
      </c>
      <c r="Y284" s="232">
        <f t="shared" si="73"/>
        <v>1.3226719414733956</v>
      </c>
      <c r="AA284" s="215">
        <v>314637.94</v>
      </c>
      <c r="AB284" s="235"/>
      <c r="AC284" s="215">
        <v>320997.32000000007</v>
      </c>
      <c r="AD284" s="215">
        <v>320774.88</v>
      </c>
      <c r="AE284" s="215">
        <v>299219.48</v>
      </c>
      <c r="AF284" s="215">
        <v>598367.81000000006</v>
      </c>
      <c r="AG284" s="215">
        <v>510961.37799999997</v>
      </c>
      <c r="AH284" s="215">
        <v>604399.56999999995</v>
      </c>
      <c r="AI284" s="215">
        <v>634915.51</v>
      </c>
      <c r="AJ284" s="215">
        <v>730911.04999999993</v>
      </c>
      <c r="AK284" s="215">
        <v>705875.42999999993</v>
      </c>
      <c r="AL284" s="215">
        <v>578812.8600000001</v>
      </c>
      <c r="AM284" s="215">
        <v>506561.94</v>
      </c>
      <c r="AN284" s="215">
        <v>825899.6399999999</v>
      </c>
      <c r="AO284" s="235"/>
      <c r="AP284" s="215">
        <v>1230822.1900000002</v>
      </c>
      <c r="AQ284" s="215">
        <v>1438867.43</v>
      </c>
      <c r="AR284" s="215">
        <v>-298645.97000000003</v>
      </c>
      <c r="AS284" s="215">
        <v>0</v>
      </c>
      <c r="AT284" s="215">
        <v>0</v>
      </c>
      <c r="AU284" s="215">
        <v>0</v>
      </c>
      <c r="AV284" s="215">
        <v>0</v>
      </c>
      <c r="AW284" s="215">
        <v>0</v>
      </c>
      <c r="AX284" s="215">
        <v>0</v>
      </c>
      <c r="AY284" s="215">
        <v>0</v>
      </c>
      <c r="AZ284" s="215">
        <v>0</v>
      </c>
      <c r="BA284" s="215">
        <v>0</v>
      </c>
    </row>
    <row r="285" spans="1:53" s="211" customFormat="1" ht="0.75" customHeight="1" outlineLevel="2" x14ac:dyDescent="0.25">
      <c r="B285" s="212"/>
      <c r="C285" s="213"/>
      <c r="D285" s="229"/>
      <c r="E285" s="229"/>
      <c r="F285" s="215"/>
      <c r="G285" s="215"/>
      <c r="H285" s="236"/>
      <c r="I285" s="237"/>
      <c r="J285" s="231"/>
      <c r="K285" s="215"/>
      <c r="L285" s="215"/>
      <c r="M285" s="236"/>
      <c r="N285" s="232"/>
      <c r="O285" s="233"/>
      <c r="P285" s="233"/>
      <c r="Q285" s="215"/>
      <c r="R285" s="215"/>
      <c r="S285" s="236"/>
      <c r="T285" s="237"/>
      <c r="U285" s="233"/>
      <c r="V285" s="215"/>
      <c r="W285" s="215"/>
      <c r="X285" s="236"/>
      <c r="Y285" s="232"/>
      <c r="AA285" s="215"/>
      <c r="AB285" s="235"/>
      <c r="AC285" s="215"/>
      <c r="AD285" s="215"/>
      <c r="AE285" s="215"/>
      <c r="AF285" s="215"/>
      <c r="AG285" s="215"/>
      <c r="AH285" s="215"/>
      <c r="AI285" s="215"/>
      <c r="AJ285" s="215"/>
      <c r="AK285" s="215"/>
      <c r="AL285" s="215"/>
      <c r="AM285" s="215"/>
      <c r="AN285" s="215"/>
      <c r="AO285" s="235"/>
      <c r="AP285" s="215"/>
      <c r="AQ285" s="215"/>
      <c r="AR285" s="215"/>
      <c r="AS285" s="215"/>
      <c r="AT285" s="215"/>
      <c r="AU285" s="215"/>
      <c r="AV285" s="215"/>
      <c r="AW285" s="215"/>
      <c r="AX285" s="215"/>
      <c r="AY285" s="215"/>
      <c r="AZ285" s="215"/>
      <c r="BA285" s="215"/>
    </row>
    <row r="286" spans="1:53" s="138" customFormat="1" outlineLevel="2" x14ac:dyDescent="0.25">
      <c r="A286" s="138" t="s">
        <v>902</v>
      </c>
      <c r="B286" s="139" t="s">
        <v>903</v>
      </c>
      <c r="C286" s="140" t="s">
        <v>904</v>
      </c>
      <c r="D286" s="141"/>
      <c r="E286" s="142"/>
      <c r="F286" s="143">
        <v>689543.82000000007</v>
      </c>
      <c r="G286" s="143">
        <v>840657.20000000007</v>
      </c>
      <c r="H286" s="144">
        <f t="shared" ref="H286:H349" si="74">+F286-G286</f>
        <v>-151113.38</v>
      </c>
      <c r="I286" s="145">
        <f t="shared" ref="I286:I349" si="75">IF(G286&lt;0,IF(H286=0,0,IF(OR(G286=0,F286=0),"N.M.",IF(ABS(H286/G286)&gt;=10,"N.M.",H286/(-G286)))),IF(H286=0,0,IF(OR(G286=0,F286=0),"N.M.",IF(ABS(H286/G286)&gt;=10,"N.M.",H286/G286))))</f>
        <v>-0.17975624309171442</v>
      </c>
      <c r="J286" s="146"/>
      <c r="K286" s="143">
        <v>1552009.6600000001</v>
      </c>
      <c r="L286" s="143">
        <v>1515015.31</v>
      </c>
      <c r="M286" s="144">
        <f t="shared" ref="M286:M349" si="76">+K286-L286</f>
        <v>36994.350000000093</v>
      </c>
      <c r="N286" s="145">
        <f t="shared" ref="N286:N349" si="77">IF(L286&lt;0,IF(M286=0,0,IF(OR(L286=0,K286=0),"N.M.",IF(ABS(M286/L286)&gt;=10,"N.M.",M286/(-L286)))),IF(M286=0,0,IF(OR(L286=0,K286=0),"N.M.",IF(ABS(M286/L286)&gt;=10,"N.M.",M286/L286))))</f>
        <v>2.4418466107778206E-2</v>
      </c>
      <c r="O286" s="147"/>
      <c r="P286" s="146"/>
      <c r="Q286" s="143">
        <v>2692124.68</v>
      </c>
      <c r="R286" s="143">
        <v>2387279.0499999998</v>
      </c>
      <c r="S286" s="144">
        <f t="shared" ref="S286:S349" si="78">+Q286-R286</f>
        <v>304845.63000000035</v>
      </c>
      <c r="T286" s="145">
        <f t="shared" ref="T286:T349" si="79">IF(R286&lt;0,IF(S286=0,0,IF(OR(R286=0,Q286=0),"N.M.",IF(ABS(S286/R286)&gt;=10,"N.M.",S286/(-R286)))),IF(S286=0,0,IF(OR(R286=0,Q286=0),"N.M.",IF(ABS(S286/R286)&gt;=10,"N.M.",S286/R286))))</f>
        <v>0.12769585105687598</v>
      </c>
      <c r="U286" s="146"/>
      <c r="V286" s="143">
        <v>9404008.9400000013</v>
      </c>
      <c r="W286" s="143">
        <v>8852038.7400000002</v>
      </c>
      <c r="X286" s="144">
        <f t="shared" ref="X286:X349" si="80">+V286-W286</f>
        <v>551970.20000000112</v>
      </c>
      <c r="Y286" s="145">
        <f t="shared" ref="Y286:Y349" si="81">IF(W286&lt;0,IF(X286=0,0,IF(OR(W286=0,V286=0),"N.M.",IF(ABS(X286/W286)&gt;=10,"N.M.",X286/(-W286)))),IF(X286=0,0,IF(OR(W286=0,V286=0),"N.M.",IF(ABS(X286/W286)&gt;=10,"N.M.",X286/W286))))</f>
        <v>6.235514961155729E-2</v>
      </c>
      <c r="Z286" s="148"/>
      <c r="AA286" s="149">
        <v>872263.74</v>
      </c>
      <c r="AB286" s="150"/>
      <c r="AC286" s="117">
        <v>674358.11</v>
      </c>
      <c r="AD286" s="117">
        <v>840657.20000000007</v>
      </c>
      <c r="AE286" s="117">
        <v>988004.88</v>
      </c>
      <c r="AF286" s="117">
        <v>755639.05</v>
      </c>
      <c r="AG286" s="117">
        <v>680452.43</v>
      </c>
      <c r="AH286" s="117">
        <v>716672.17</v>
      </c>
      <c r="AI286" s="117">
        <v>630217.06000000006</v>
      </c>
      <c r="AJ286" s="117">
        <v>791539.15</v>
      </c>
      <c r="AK286" s="117">
        <v>677019.36</v>
      </c>
      <c r="AL286" s="117">
        <v>798371.21</v>
      </c>
      <c r="AM286" s="117">
        <v>673968.95000000007</v>
      </c>
      <c r="AN286" s="117">
        <v>1140115.02</v>
      </c>
      <c r="AO286" s="150"/>
      <c r="AP286" s="117">
        <v>862465.84</v>
      </c>
      <c r="AQ286" s="117">
        <v>689543.82000000007</v>
      </c>
      <c r="AR286" s="117">
        <v>-4686.51</v>
      </c>
      <c r="AS286" s="117">
        <v>0</v>
      </c>
      <c r="AT286" s="117">
        <v>0</v>
      </c>
      <c r="AU286" s="117">
        <v>0</v>
      </c>
      <c r="AV286" s="117">
        <v>0</v>
      </c>
      <c r="AW286" s="117">
        <v>0</v>
      </c>
      <c r="AX286" s="117">
        <v>0</v>
      </c>
      <c r="AY286" s="117">
        <v>0</v>
      </c>
      <c r="AZ286" s="117">
        <v>0</v>
      </c>
      <c r="BA286" s="117">
        <v>0</v>
      </c>
    </row>
    <row r="287" spans="1:53" s="138" customFormat="1" outlineLevel="2" x14ac:dyDescent="0.25">
      <c r="A287" s="138" t="s">
        <v>905</v>
      </c>
      <c r="B287" s="139" t="s">
        <v>906</v>
      </c>
      <c r="C287" s="140" t="s">
        <v>907</v>
      </c>
      <c r="D287" s="141"/>
      <c r="E287" s="142"/>
      <c r="F287" s="143">
        <v>111405.63</v>
      </c>
      <c r="G287" s="143">
        <v>58232.79</v>
      </c>
      <c r="H287" s="144">
        <f t="shared" si="74"/>
        <v>53172.840000000004</v>
      </c>
      <c r="I287" s="145">
        <f t="shared" si="75"/>
        <v>0.91310823335100388</v>
      </c>
      <c r="J287" s="146"/>
      <c r="K287" s="143">
        <v>212863.79</v>
      </c>
      <c r="L287" s="143">
        <v>213956.99</v>
      </c>
      <c r="M287" s="144">
        <f t="shared" si="76"/>
        <v>-1093.1999999999825</v>
      </c>
      <c r="N287" s="145">
        <f t="shared" si="77"/>
        <v>-5.1094381165110924E-3</v>
      </c>
      <c r="O287" s="147"/>
      <c r="P287" s="146"/>
      <c r="Q287" s="143">
        <v>227136</v>
      </c>
      <c r="R287" s="143">
        <v>244673.28</v>
      </c>
      <c r="S287" s="144">
        <f t="shared" si="78"/>
        <v>-17537.28</v>
      </c>
      <c r="T287" s="145">
        <f t="shared" si="79"/>
        <v>-7.1676318721848167E-2</v>
      </c>
      <c r="U287" s="146"/>
      <c r="V287" s="143">
        <v>709287.11</v>
      </c>
      <c r="W287" s="143">
        <v>653342.80000000005</v>
      </c>
      <c r="X287" s="144">
        <f t="shared" si="80"/>
        <v>55944.309999999939</v>
      </c>
      <c r="Y287" s="145">
        <f t="shared" si="81"/>
        <v>8.5627805188945125E-2</v>
      </c>
      <c r="Z287" s="148"/>
      <c r="AA287" s="149">
        <v>30716.29</v>
      </c>
      <c r="AB287" s="150"/>
      <c r="AC287" s="117">
        <v>155724.20000000001</v>
      </c>
      <c r="AD287" s="117">
        <v>58232.79</v>
      </c>
      <c r="AE287" s="117">
        <v>-31827.31</v>
      </c>
      <c r="AF287" s="117">
        <v>90538.34</v>
      </c>
      <c r="AG287" s="117">
        <v>59537.08</v>
      </c>
      <c r="AH287" s="117">
        <v>16849.46</v>
      </c>
      <c r="AI287" s="117">
        <v>4021.33</v>
      </c>
      <c r="AJ287" s="117">
        <v>59308.04</v>
      </c>
      <c r="AK287" s="117">
        <v>33995.67</v>
      </c>
      <c r="AL287" s="117">
        <v>115863.01000000001</v>
      </c>
      <c r="AM287" s="117">
        <v>133865.49</v>
      </c>
      <c r="AN287" s="117">
        <v>14272.210000000001</v>
      </c>
      <c r="AO287" s="150"/>
      <c r="AP287" s="117">
        <v>101458.16</v>
      </c>
      <c r="AQ287" s="117">
        <v>111405.63</v>
      </c>
      <c r="AR287" s="117">
        <v>-63688.68</v>
      </c>
      <c r="AS287" s="117">
        <v>0</v>
      </c>
      <c r="AT287" s="117">
        <v>0</v>
      </c>
      <c r="AU287" s="117">
        <v>0</v>
      </c>
      <c r="AV287" s="117">
        <v>0</v>
      </c>
      <c r="AW287" s="117">
        <v>0</v>
      </c>
      <c r="AX287" s="117">
        <v>0</v>
      </c>
      <c r="AY287" s="117">
        <v>0</v>
      </c>
      <c r="AZ287" s="117">
        <v>0</v>
      </c>
      <c r="BA287" s="117">
        <v>0</v>
      </c>
    </row>
    <row r="288" spans="1:53" s="138" customFormat="1" outlineLevel="2" x14ac:dyDescent="0.25">
      <c r="A288" s="138" t="s">
        <v>908</v>
      </c>
      <c r="B288" s="139" t="s">
        <v>909</v>
      </c>
      <c r="C288" s="140" t="s">
        <v>910</v>
      </c>
      <c r="D288" s="141"/>
      <c r="E288" s="142"/>
      <c r="F288" s="143">
        <v>20.14</v>
      </c>
      <c r="G288" s="143">
        <v>0</v>
      </c>
      <c r="H288" s="144">
        <f t="shared" si="74"/>
        <v>20.14</v>
      </c>
      <c r="I288" s="145" t="str">
        <f t="shared" si="75"/>
        <v>N.M.</v>
      </c>
      <c r="J288" s="146"/>
      <c r="K288" s="143">
        <v>20.14</v>
      </c>
      <c r="L288" s="143">
        <v>0</v>
      </c>
      <c r="M288" s="144">
        <f t="shared" si="76"/>
        <v>20.14</v>
      </c>
      <c r="N288" s="145" t="str">
        <f t="shared" si="77"/>
        <v>N.M.</v>
      </c>
      <c r="O288" s="147"/>
      <c r="P288" s="146"/>
      <c r="Q288" s="143">
        <v>20.14</v>
      </c>
      <c r="R288" s="143">
        <v>0</v>
      </c>
      <c r="S288" s="144">
        <f t="shared" si="78"/>
        <v>20.14</v>
      </c>
      <c r="T288" s="145" t="str">
        <f t="shared" si="79"/>
        <v>N.M.</v>
      </c>
      <c r="U288" s="146"/>
      <c r="V288" s="143">
        <v>20.14</v>
      </c>
      <c r="W288" s="143">
        <v>33.83</v>
      </c>
      <c r="X288" s="144">
        <f t="shared" si="80"/>
        <v>-13.689999999999998</v>
      </c>
      <c r="Y288" s="145">
        <f t="shared" si="81"/>
        <v>-0.40467041087791894</v>
      </c>
      <c r="Z288" s="148"/>
      <c r="AA288" s="149">
        <v>0</v>
      </c>
      <c r="AB288" s="150"/>
      <c r="AC288" s="117">
        <v>0</v>
      </c>
      <c r="AD288" s="117">
        <v>0</v>
      </c>
      <c r="AE288" s="117">
        <v>0</v>
      </c>
      <c r="AF288" s="117">
        <v>0</v>
      </c>
      <c r="AG288" s="117">
        <v>0</v>
      </c>
      <c r="AH288" s="117">
        <v>0</v>
      </c>
      <c r="AI288" s="117">
        <v>0</v>
      </c>
      <c r="AJ288" s="117">
        <v>0</v>
      </c>
      <c r="AK288" s="117">
        <v>0</v>
      </c>
      <c r="AL288" s="117">
        <v>0</v>
      </c>
      <c r="AM288" s="117">
        <v>0</v>
      </c>
      <c r="AN288" s="117">
        <v>0</v>
      </c>
      <c r="AO288" s="150"/>
      <c r="AP288" s="117">
        <v>0</v>
      </c>
      <c r="AQ288" s="117">
        <v>20.14</v>
      </c>
      <c r="AR288" s="117">
        <v>0</v>
      </c>
      <c r="AS288" s="117">
        <v>0</v>
      </c>
      <c r="AT288" s="117">
        <v>0</v>
      </c>
      <c r="AU288" s="117">
        <v>0</v>
      </c>
      <c r="AV288" s="117">
        <v>0</v>
      </c>
      <c r="AW288" s="117">
        <v>0</v>
      </c>
      <c r="AX288" s="117">
        <v>0</v>
      </c>
      <c r="AY288" s="117">
        <v>0</v>
      </c>
      <c r="AZ288" s="117">
        <v>0</v>
      </c>
      <c r="BA288" s="117">
        <v>0</v>
      </c>
    </row>
    <row r="289" spans="1:53" s="138" customFormat="1" outlineLevel="2" x14ac:dyDescent="0.25">
      <c r="A289" s="138" t="s">
        <v>911</v>
      </c>
      <c r="B289" s="139" t="s">
        <v>912</v>
      </c>
      <c r="C289" s="140" t="s">
        <v>913</v>
      </c>
      <c r="D289" s="141"/>
      <c r="E289" s="142"/>
      <c r="F289" s="143">
        <v>0</v>
      </c>
      <c r="G289" s="143">
        <v>0</v>
      </c>
      <c r="H289" s="144">
        <f t="shared" si="74"/>
        <v>0</v>
      </c>
      <c r="I289" s="145">
        <f t="shared" si="75"/>
        <v>0</v>
      </c>
      <c r="J289" s="146"/>
      <c r="K289" s="143">
        <v>0</v>
      </c>
      <c r="L289" s="143">
        <v>-0.62</v>
      </c>
      <c r="M289" s="144">
        <f t="shared" si="76"/>
        <v>0.62</v>
      </c>
      <c r="N289" s="145" t="str">
        <f t="shared" si="77"/>
        <v>N.M.</v>
      </c>
      <c r="O289" s="147"/>
      <c r="P289" s="146"/>
      <c r="Q289" s="143">
        <v>0</v>
      </c>
      <c r="R289" s="143">
        <v>0.29000000000000004</v>
      </c>
      <c r="S289" s="144">
        <f t="shared" si="78"/>
        <v>-0.29000000000000004</v>
      </c>
      <c r="T289" s="145" t="str">
        <f t="shared" si="79"/>
        <v>N.M.</v>
      </c>
      <c r="U289" s="146"/>
      <c r="V289" s="143">
        <v>-0.48</v>
      </c>
      <c r="W289" s="143">
        <v>0.29000000000000004</v>
      </c>
      <c r="X289" s="144">
        <f t="shared" si="80"/>
        <v>-0.77</v>
      </c>
      <c r="Y289" s="145">
        <f t="shared" si="81"/>
        <v>-2.6551724137931032</v>
      </c>
      <c r="Z289" s="148"/>
      <c r="AA289" s="149">
        <v>0.91</v>
      </c>
      <c r="AB289" s="150"/>
      <c r="AC289" s="117">
        <v>-0.62</v>
      </c>
      <c r="AD289" s="117">
        <v>0</v>
      </c>
      <c r="AE289" s="117">
        <v>0.4</v>
      </c>
      <c r="AF289" s="117">
        <v>0</v>
      </c>
      <c r="AG289" s="117">
        <v>0</v>
      </c>
      <c r="AH289" s="117">
        <v>0</v>
      </c>
      <c r="AI289" s="117">
        <v>0</v>
      </c>
      <c r="AJ289" s="117">
        <v>0</v>
      </c>
      <c r="AK289" s="117">
        <v>0</v>
      </c>
      <c r="AL289" s="117">
        <v>0</v>
      </c>
      <c r="AM289" s="117">
        <v>-0.88</v>
      </c>
      <c r="AN289" s="117">
        <v>0</v>
      </c>
      <c r="AO289" s="150"/>
      <c r="AP289" s="117">
        <v>0</v>
      </c>
      <c r="AQ289" s="117">
        <v>0</v>
      </c>
      <c r="AR289" s="117">
        <v>0</v>
      </c>
      <c r="AS289" s="117">
        <v>0</v>
      </c>
      <c r="AT289" s="117">
        <v>0</v>
      </c>
      <c r="AU289" s="117">
        <v>0</v>
      </c>
      <c r="AV289" s="117">
        <v>0</v>
      </c>
      <c r="AW289" s="117">
        <v>0</v>
      </c>
      <c r="AX289" s="117">
        <v>0</v>
      </c>
      <c r="AY289" s="117">
        <v>0</v>
      </c>
      <c r="AZ289" s="117">
        <v>0</v>
      </c>
      <c r="BA289" s="117">
        <v>0</v>
      </c>
    </row>
    <row r="290" spans="1:53" s="138" customFormat="1" outlineLevel="2" x14ac:dyDescent="0.25">
      <c r="A290" s="138" t="s">
        <v>914</v>
      </c>
      <c r="B290" s="139" t="s">
        <v>915</v>
      </c>
      <c r="C290" s="140" t="s">
        <v>916</v>
      </c>
      <c r="D290" s="141"/>
      <c r="E290" s="142"/>
      <c r="F290" s="143">
        <v>-50146.83</v>
      </c>
      <c r="G290" s="143">
        <v>-55815.880000000005</v>
      </c>
      <c r="H290" s="144">
        <f t="shared" si="74"/>
        <v>5669.0500000000029</v>
      </c>
      <c r="I290" s="145">
        <f t="shared" si="75"/>
        <v>0.10156697341330106</v>
      </c>
      <c r="J290" s="146"/>
      <c r="K290" s="143">
        <v>-162381.80000000002</v>
      </c>
      <c r="L290" s="143">
        <v>-180869.83000000002</v>
      </c>
      <c r="M290" s="144">
        <f t="shared" si="76"/>
        <v>18488.03</v>
      </c>
      <c r="N290" s="145">
        <f t="shared" si="77"/>
        <v>0.10221732391742723</v>
      </c>
      <c r="O290" s="147"/>
      <c r="P290" s="146"/>
      <c r="Q290" s="143">
        <v>-340459.72000000003</v>
      </c>
      <c r="R290" s="143">
        <v>-279514.68000000005</v>
      </c>
      <c r="S290" s="144">
        <f t="shared" si="78"/>
        <v>-60945.039999999979</v>
      </c>
      <c r="T290" s="145">
        <f t="shared" si="79"/>
        <v>-0.21803878064651191</v>
      </c>
      <c r="U290" s="146"/>
      <c r="V290" s="143">
        <v>-823547.03</v>
      </c>
      <c r="W290" s="143">
        <v>-720593.55</v>
      </c>
      <c r="X290" s="144">
        <f t="shared" si="80"/>
        <v>-102953.47999999998</v>
      </c>
      <c r="Y290" s="145">
        <f t="shared" si="81"/>
        <v>-0.1428731633803827</v>
      </c>
      <c r="Z290" s="148"/>
      <c r="AA290" s="149">
        <v>-98644.85</v>
      </c>
      <c r="AB290" s="150"/>
      <c r="AC290" s="117">
        <v>-125053.95</v>
      </c>
      <c r="AD290" s="117">
        <v>-55815.880000000005</v>
      </c>
      <c r="AE290" s="117">
        <v>-67051.290000000008</v>
      </c>
      <c r="AF290" s="117">
        <v>-53995.21</v>
      </c>
      <c r="AG290" s="117">
        <v>-50246.82</v>
      </c>
      <c r="AH290" s="117">
        <v>-48785.04</v>
      </c>
      <c r="AI290" s="117">
        <v>-55051.67</v>
      </c>
      <c r="AJ290" s="117">
        <v>-52171.47</v>
      </c>
      <c r="AK290" s="117">
        <v>-52333.26</v>
      </c>
      <c r="AL290" s="117">
        <v>-46430.68</v>
      </c>
      <c r="AM290" s="117">
        <v>-57021.87</v>
      </c>
      <c r="AN290" s="117">
        <v>-178077.92</v>
      </c>
      <c r="AO290" s="150"/>
      <c r="AP290" s="117">
        <v>-112234.97</v>
      </c>
      <c r="AQ290" s="117">
        <v>-50146.83</v>
      </c>
      <c r="AR290" s="117">
        <v>0</v>
      </c>
      <c r="AS290" s="117">
        <v>0</v>
      </c>
      <c r="AT290" s="117">
        <v>0</v>
      </c>
      <c r="AU290" s="117">
        <v>0</v>
      </c>
      <c r="AV290" s="117">
        <v>0</v>
      </c>
      <c r="AW290" s="117">
        <v>0</v>
      </c>
      <c r="AX290" s="117">
        <v>0</v>
      </c>
      <c r="AY290" s="117">
        <v>0</v>
      </c>
      <c r="AZ290" s="117">
        <v>0</v>
      </c>
      <c r="BA290" s="117">
        <v>0</v>
      </c>
    </row>
    <row r="291" spans="1:53" s="138" customFormat="1" outlineLevel="2" x14ac:dyDescent="0.25">
      <c r="A291" s="138" t="s">
        <v>917</v>
      </c>
      <c r="B291" s="139" t="s">
        <v>918</v>
      </c>
      <c r="C291" s="140" t="s">
        <v>919</v>
      </c>
      <c r="D291" s="141"/>
      <c r="E291" s="142"/>
      <c r="F291" s="143">
        <v>-33841</v>
      </c>
      <c r="G291" s="143">
        <v>-67708</v>
      </c>
      <c r="H291" s="144">
        <f t="shared" si="74"/>
        <v>33867</v>
      </c>
      <c r="I291" s="145">
        <f t="shared" si="75"/>
        <v>0.50019200094523542</v>
      </c>
      <c r="J291" s="146"/>
      <c r="K291" s="143">
        <v>-66034</v>
      </c>
      <c r="L291" s="143">
        <v>-130562</v>
      </c>
      <c r="M291" s="144">
        <f t="shared" si="76"/>
        <v>64528</v>
      </c>
      <c r="N291" s="145">
        <f t="shared" si="77"/>
        <v>0.49423262511297317</v>
      </c>
      <c r="O291" s="147"/>
      <c r="P291" s="146"/>
      <c r="Q291" s="143">
        <v>-88956</v>
      </c>
      <c r="R291" s="143">
        <v>-257565</v>
      </c>
      <c r="S291" s="144">
        <f t="shared" si="78"/>
        <v>168609</v>
      </c>
      <c r="T291" s="145">
        <f t="shared" si="79"/>
        <v>0.65462698736241343</v>
      </c>
      <c r="U291" s="146"/>
      <c r="V291" s="143">
        <v>-533702</v>
      </c>
      <c r="W291" s="143">
        <v>-653728</v>
      </c>
      <c r="X291" s="144">
        <f t="shared" si="80"/>
        <v>120026</v>
      </c>
      <c r="Y291" s="145">
        <f t="shared" si="81"/>
        <v>0.18360235449605952</v>
      </c>
      <c r="Z291" s="148"/>
      <c r="AA291" s="149">
        <v>-127003</v>
      </c>
      <c r="AB291" s="150"/>
      <c r="AC291" s="117">
        <v>-62854</v>
      </c>
      <c r="AD291" s="117">
        <v>-67708</v>
      </c>
      <c r="AE291" s="117">
        <v>-107193</v>
      </c>
      <c r="AF291" s="117">
        <v>-75293</v>
      </c>
      <c r="AG291" s="117">
        <v>-23350</v>
      </c>
      <c r="AH291" s="117">
        <v>-28613</v>
      </c>
      <c r="AI291" s="117">
        <v>-22440</v>
      </c>
      <c r="AJ291" s="117">
        <v>-21522</v>
      </c>
      <c r="AK291" s="117">
        <v>-84010</v>
      </c>
      <c r="AL291" s="117">
        <v>-40385</v>
      </c>
      <c r="AM291" s="117">
        <v>-41940</v>
      </c>
      <c r="AN291" s="117">
        <v>-22922</v>
      </c>
      <c r="AO291" s="150"/>
      <c r="AP291" s="117">
        <v>-32193</v>
      </c>
      <c r="AQ291" s="117">
        <v>-33841</v>
      </c>
      <c r="AR291" s="117">
        <v>0</v>
      </c>
      <c r="AS291" s="117">
        <v>0</v>
      </c>
      <c r="AT291" s="117">
        <v>0</v>
      </c>
      <c r="AU291" s="117">
        <v>0</v>
      </c>
      <c r="AV291" s="117">
        <v>0</v>
      </c>
      <c r="AW291" s="117">
        <v>0</v>
      </c>
      <c r="AX291" s="117">
        <v>0</v>
      </c>
      <c r="AY291" s="117">
        <v>0</v>
      </c>
      <c r="AZ291" s="117">
        <v>0</v>
      </c>
      <c r="BA291" s="117">
        <v>0</v>
      </c>
    </row>
    <row r="292" spans="1:53" s="138" customFormat="1" outlineLevel="2" x14ac:dyDescent="0.25">
      <c r="A292" s="138" t="s">
        <v>920</v>
      </c>
      <c r="B292" s="139" t="s">
        <v>921</v>
      </c>
      <c r="C292" s="140" t="s">
        <v>922</v>
      </c>
      <c r="D292" s="141"/>
      <c r="E292" s="142"/>
      <c r="F292" s="143">
        <v>0</v>
      </c>
      <c r="G292" s="143">
        <v>0</v>
      </c>
      <c r="H292" s="144">
        <f t="shared" si="74"/>
        <v>0</v>
      </c>
      <c r="I292" s="145">
        <f t="shared" si="75"/>
        <v>0</v>
      </c>
      <c r="J292" s="146"/>
      <c r="K292" s="143">
        <v>-100.94</v>
      </c>
      <c r="L292" s="143">
        <v>0</v>
      </c>
      <c r="M292" s="144">
        <f t="shared" si="76"/>
        <v>-100.94</v>
      </c>
      <c r="N292" s="145" t="str">
        <f t="shared" si="77"/>
        <v>N.M.</v>
      </c>
      <c r="O292" s="147"/>
      <c r="P292" s="146"/>
      <c r="Q292" s="143">
        <v>-1209.21</v>
      </c>
      <c r="R292" s="143">
        <v>0</v>
      </c>
      <c r="S292" s="144">
        <f t="shared" si="78"/>
        <v>-1209.21</v>
      </c>
      <c r="T292" s="145" t="str">
        <f t="shared" si="79"/>
        <v>N.M.</v>
      </c>
      <c r="U292" s="146"/>
      <c r="V292" s="143">
        <v>-1221.26</v>
      </c>
      <c r="W292" s="143">
        <v>-23.400000000000002</v>
      </c>
      <c r="X292" s="144">
        <f t="shared" si="80"/>
        <v>-1197.8599999999999</v>
      </c>
      <c r="Y292" s="145" t="str">
        <f t="shared" si="81"/>
        <v>N.M.</v>
      </c>
      <c r="Z292" s="148"/>
      <c r="AA292" s="149">
        <v>0</v>
      </c>
      <c r="AB292" s="150"/>
      <c r="AC292" s="117">
        <v>0</v>
      </c>
      <c r="AD292" s="117">
        <v>0</v>
      </c>
      <c r="AE292" s="117">
        <v>0</v>
      </c>
      <c r="AF292" s="117">
        <v>0</v>
      </c>
      <c r="AG292" s="117">
        <v>0</v>
      </c>
      <c r="AH292" s="117">
        <v>-5.86</v>
      </c>
      <c r="AI292" s="117">
        <v>-5.86</v>
      </c>
      <c r="AJ292" s="117">
        <v>-0.33</v>
      </c>
      <c r="AK292" s="117">
        <v>0</v>
      </c>
      <c r="AL292" s="117">
        <v>0</v>
      </c>
      <c r="AM292" s="117">
        <v>0</v>
      </c>
      <c r="AN292" s="117">
        <v>-1108.27</v>
      </c>
      <c r="AO292" s="150"/>
      <c r="AP292" s="117">
        <v>-100.94</v>
      </c>
      <c r="AQ292" s="117">
        <v>0</v>
      </c>
      <c r="AR292" s="117">
        <v>0</v>
      </c>
      <c r="AS292" s="117">
        <v>0</v>
      </c>
      <c r="AT292" s="117">
        <v>0</v>
      </c>
      <c r="AU292" s="117">
        <v>0</v>
      </c>
      <c r="AV292" s="117">
        <v>0</v>
      </c>
      <c r="AW292" s="117">
        <v>0</v>
      </c>
      <c r="AX292" s="117">
        <v>0</v>
      </c>
      <c r="AY292" s="117">
        <v>0</v>
      </c>
      <c r="AZ292" s="117">
        <v>0</v>
      </c>
      <c r="BA292" s="117">
        <v>0</v>
      </c>
    </row>
    <row r="293" spans="1:53" s="138" customFormat="1" outlineLevel="2" x14ac:dyDescent="0.25">
      <c r="A293" s="138" t="s">
        <v>923</v>
      </c>
      <c r="B293" s="139" t="s">
        <v>924</v>
      </c>
      <c r="C293" s="140" t="s">
        <v>925</v>
      </c>
      <c r="D293" s="141"/>
      <c r="E293" s="142"/>
      <c r="F293" s="143">
        <v>89645.17</v>
      </c>
      <c r="G293" s="143">
        <v>164668.24</v>
      </c>
      <c r="H293" s="144">
        <f t="shared" si="74"/>
        <v>-75023.069999999992</v>
      </c>
      <c r="I293" s="145">
        <f t="shared" si="75"/>
        <v>-0.45560133514513784</v>
      </c>
      <c r="J293" s="146"/>
      <c r="K293" s="143">
        <v>243437.42</v>
      </c>
      <c r="L293" s="143">
        <v>291110.82</v>
      </c>
      <c r="M293" s="144">
        <f t="shared" si="76"/>
        <v>-47673.399999999994</v>
      </c>
      <c r="N293" s="145">
        <f t="shared" si="77"/>
        <v>-0.16376375155001108</v>
      </c>
      <c r="O293" s="147"/>
      <c r="P293" s="146"/>
      <c r="Q293" s="143">
        <v>434387.35</v>
      </c>
      <c r="R293" s="143">
        <v>471285.2</v>
      </c>
      <c r="S293" s="144">
        <f t="shared" si="78"/>
        <v>-36897.850000000035</v>
      </c>
      <c r="T293" s="145">
        <f t="shared" si="79"/>
        <v>-7.8291976917586284E-2</v>
      </c>
      <c r="U293" s="146"/>
      <c r="V293" s="143">
        <v>1853170.6099999999</v>
      </c>
      <c r="W293" s="143">
        <v>1768021.071</v>
      </c>
      <c r="X293" s="144">
        <f t="shared" si="80"/>
        <v>85149.538999999873</v>
      </c>
      <c r="Y293" s="145">
        <f t="shared" si="81"/>
        <v>4.8160929977966241E-2</v>
      </c>
      <c r="Z293" s="148"/>
      <c r="AA293" s="149">
        <v>180174.38</v>
      </c>
      <c r="AB293" s="150"/>
      <c r="AC293" s="117">
        <v>126442.58</v>
      </c>
      <c r="AD293" s="117">
        <v>164668.24</v>
      </c>
      <c r="AE293" s="117">
        <v>192392.13</v>
      </c>
      <c r="AF293" s="117">
        <v>142378.26999999999</v>
      </c>
      <c r="AG293" s="117">
        <v>174231.91</v>
      </c>
      <c r="AH293" s="117">
        <v>153002.31</v>
      </c>
      <c r="AI293" s="117">
        <v>120573.93000000001</v>
      </c>
      <c r="AJ293" s="117">
        <v>181991.37</v>
      </c>
      <c r="AK293" s="117">
        <v>160817.92000000001</v>
      </c>
      <c r="AL293" s="117">
        <v>148535.26</v>
      </c>
      <c r="AM293" s="117">
        <v>144860.16</v>
      </c>
      <c r="AN293" s="117">
        <v>190949.93</v>
      </c>
      <c r="AO293" s="150"/>
      <c r="AP293" s="117">
        <v>153792.25</v>
      </c>
      <c r="AQ293" s="117">
        <v>89645.17</v>
      </c>
      <c r="AR293" s="117">
        <v>-69792.479999999996</v>
      </c>
      <c r="AS293" s="117">
        <v>0</v>
      </c>
      <c r="AT293" s="117">
        <v>0</v>
      </c>
      <c r="AU293" s="117">
        <v>0</v>
      </c>
      <c r="AV293" s="117">
        <v>0</v>
      </c>
      <c r="AW293" s="117">
        <v>0</v>
      </c>
      <c r="AX293" s="117">
        <v>0</v>
      </c>
      <c r="AY293" s="117">
        <v>0</v>
      </c>
      <c r="AZ293" s="117">
        <v>0</v>
      </c>
      <c r="BA293" s="117">
        <v>0</v>
      </c>
    </row>
    <row r="294" spans="1:53" s="138" customFormat="1" outlineLevel="2" x14ac:dyDescent="0.25">
      <c r="A294" s="138" t="s">
        <v>926</v>
      </c>
      <c r="B294" s="139" t="s">
        <v>927</v>
      </c>
      <c r="C294" s="140" t="s">
        <v>928</v>
      </c>
      <c r="D294" s="141"/>
      <c r="E294" s="142"/>
      <c r="F294" s="143">
        <v>-145414.25</v>
      </c>
      <c r="G294" s="143">
        <v>126556.40000000001</v>
      </c>
      <c r="H294" s="144">
        <f t="shared" si="74"/>
        <v>-271970.65000000002</v>
      </c>
      <c r="I294" s="145">
        <f t="shared" si="75"/>
        <v>-2.1490074780888206</v>
      </c>
      <c r="J294" s="146"/>
      <c r="K294" s="143">
        <v>-198694.14</v>
      </c>
      <c r="L294" s="143">
        <v>603592.57999999996</v>
      </c>
      <c r="M294" s="144">
        <f t="shared" si="76"/>
        <v>-802286.72</v>
      </c>
      <c r="N294" s="145">
        <f t="shared" si="77"/>
        <v>-1.3291858557969682</v>
      </c>
      <c r="O294" s="147"/>
      <c r="P294" s="146"/>
      <c r="Q294" s="143">
        <v>-202046.56000000003</v>
      </c>
      <c r="R294" s="143">
        <v>806259.3899999999</v>
      </c>
      <c r="S294" s="144">
        <f t="shared" si="78"/>
        <v>-1008305.95</v>
      </c>
      <c r="T294" s="145">
        <f t="shared" si="79"/>
        <v>-1.2505974659098236</v>
      </c>
      <c r="U294" s="146"/>
      <c r="V294" s="143">
        <v>-558785.48</v>
      </c>
      <c r="W294" s="143">
        <v>975113.6</v>
      </c>
      <c r="X294" s="144">
        <f t="shared" si="80"/>
        <v>-1533899.08</v>
      </c>
      <c r="Y294" s="145">
        <f t="shared" si="81"/>
        <v>-1.5730465455512057</v>
      </c>
      <c r="Z294" s="148"/>
      <c r="AA294" s="149">
        <v>202666.81</v>
      </c>
      <c r="AB294" s="150"/>
      <c r="AC294" s="117">
        <v>477036.18</v>
      </c>
      <c r="AD294" s="117">
        <v>126556.40000000001</v>
      </c>
      <c r="AE294" s="117">
        <v>-211374.05000000002</v>
      </c>
      <c r="AF294" s="117">
        <v>-210161.83000000002</v>
      </c>
      <c r="AG294" s="117">
        <v>-30719.62</v>
      </c>
      <c r="AH294" s="117">
        <v>-335.14</v>
      </c>
      <c r="AI294" s="117">
        <v>-165801.81</v>
      </c>
      <c r="AJ294" s="117">
        <v>14499.050000000001</v>
      </c>
      <c r="AK294" s="117">
        <v>17795.100000000002</v>
      </c>
      <c r="AL294" s="117">
        <v>188403.05000000002</v>
      </c>
      <c r="AM294" s="117">
        <v>40956.33</v>
      </c>
      <c r="AN294" s="117">
        <v>-3352.42</v>
      </c>
      <c r="AO294" s="150"/>
      <c r="AP294" s="117">
        <v>-53279.89</v>
      </c>
      <c r="AQ294" s="117">
        <v>-145414.25</v>
      </c>
      <c r="AR294" s="117">
        <v>0</v>
      </c>
      <c r="AS294" s="117">
        <v>0</v>
      </c>
      <c r="AT294" s="117">
        <v>0</v>
      </c>
      <c r="AU294" s="117">
        <v>0</v>
      </c>
      <c r="AV294" s="117">
        <v>0</v>
      </c>
      <c r="AW294" s="117">
        <v>0</v>
      </c>
      <c r="AX294" s="117">
        <v>0</v>
      </c>
      <c r="AY294" s="117">
        <v>0</v>
      </c>
      <c r="AZ294" s="117">
        <v>0</v>
      </c>
      <c r="BA294" s="117">
        <v>0</v>
      </c>
    </row>
    <row r="295" spans="1:53" s="138" customFormat="1" outlineLevel="2" x14ac:dyDescent="0.25">
      <c r="A295" s="138" t="s">
        <v>929</v>
      </c>
      <c r="B295" s="139" t="s">
        <v>930</v>
      </c>
      <c r="C295" s="140" t="s">
        <v>931</v>
      </c>
      <c r="D295" s="141"/>
      <c r="E295" s="142"/>
      <c r="F295" s="143">
        <v>60185.840000000004</v>
      </c>
      <c r="G295" s="143">
        <v>51162.62</v>
      </c>
      <c r="H295" s="144">
        <f t="shared" si="74"/>
        <v>9023.2200000000012</v>
      </c>
      <c r="I295" s="145">
        <f t="shared" si="75"/>
        <v>0.17636352477648723</v>
      </c>
      <c r="J295" s="146"/>
      <c r="K295" s="143">
        <v>120371.68000000001</v>
      </c>
      <c r="L295" s="143">
        <v>117566.73</v>
      </c>
      <c r="M295" s="144">
        <f t="shared" si="76"/>
        <v>2804.9500000000116</v>
      </c>
      <c r="N295" s="145">
        <f t="shared" si="77"/>
        <v>2.3858365372584674E-2</v>
      </c>
      <c r="O295" s="147"/>
      <c r="P295" s="146"/>
      <c r="Q295" s="143">
        <v>181022</v>
      </c>
      <c r="R295" s="143">
        <v>171332.24</v>
      </c>
      <c r="S295" s="144">
        <f t="shared" si="78"/>
        <v>9689.7600000000093</v>
      </c>
      <c r="T295" s="145">
        <f t="shared" si="79"/>
        <v>5.6555380353399978E-2</v>
      </c>
      <c r="U295" s="146"/>
      <c r="V295" s="143">
        <v>735807.3600000001</v>
      </c>
      <c r="W295" s="143">
        <v>614103.5</v>
      </c>
      <c r="X295" s="144">
        <f t="shared" si="80"/>
        <v>121703.8600000001</v>
      </c>
      <c r="Y295" s="145">
        <f t="shared" si="81"/>
        <v>0.19818134890942668</v>
      </c>
      <c r="Z295" s="148"/>
      <c r="AA295" s="149">
        <v>53765.51</v>
      </c>
      <c r="AB295" s="150"/>
      <c r="AC295" s="117">
        <v>66404.11</v>
      </c>
      <c r="AD295" s="117">
        <v>51162.62</v>
      </c>
      <c r="AE295" s="117">
        <v>51162.62</v>
      </c>
      <c r="AF295" s="117">
        <v>51162.62</v>
      </c>
      <c r="AG295" s="117">
        <v>51528.9</v>
      </c>
      <c r="AH295" s="117">
        <v>51162.28</v>
      </c>
      <c r="AI295" s="117">
        <v>88377.2</v>
      </c>
      <c r="AJ295" s="117">
        <v>76456.31</v>
      </c>
      <c r="AK295" s="117">
        <v>63060.03</v>
      </c>
      <c r="AL295" s="117">
        <v>60650.200000000004</v>
      </c>
      <c r="AM295" s="117">
        <v>61225.200000000004</v>
      </c>
      <c r="AN295" s="117">
        <v>60650.32</v>
      </c>
      <c r="AO295" s="150"/>
      <c r="AP295" s="117">
        <v>60185.840000000004</v>
      </c>
      <c r="AQ295" s="117">
        <v>60185.840000000004</v>
      </c>
      <c r="AR295" s="117">
        <v>0</v>
      </c>
      <c r="AS295" s="117">
        <v>0</v>
      </c>
      <c r="AT295" s="117">
        <v>0</v>
      </c>
      <c r="AU295" s="117">
        <v>0</v>
      </c>
      <c r="AV295" s="117">
        <v>0</v>
      </c>
      <c r="AW295" s="117">
        <v>0</v>
      </c>
      <c r="AX295" s="117">
        <v>0</v>
      </c>
      <c r="AY295" s="117">
        <v>0</v>
      </c>
      <c r="AZ295" s="117">
        <v>0</v>
      </c>
      <c r="BA295" s="117">
        <v>0</v>
      </c>
    </row>
    <row r="296" spans="1:53" s="138" customFormat="1" outlineLevel="2" x14ac:dyDescent="0.25">
      <c r="A296" s="138" t="s">
        <v>932</v>
      </c>
      <c r="B296" s="139" t="s">
        <v>933</v>
      </c>
      <c r="C296" s="140" t="s">
        <v>934</v>
      </c>
      <c r="D296" s="141"/>
      <c r="E296" s="142"/>
      <c r="F296" s="143">
        <v>112777.21</v>
      </c>
      <c r="G296" s="143">
        <v>116125.55</v>
      </c>
      <c r="H296" s="144">
        <f t="shared" si="74"/>
        <v>-3348.3399999999965</v>
      </c>
      <c r="I296" s="145">
        <f t="shared" si="75"/>
        <v>-2.8833792391080141E-2</v>
      </c>
      <c r="J296" s="146"/>
      <c r="K296" s="143">
        <v>224757.36000000002</v>
      </c>
      <c r="L296" s="143">
        <v>232339.12</v>
      </c>
      <c r="M296" s="144">
        <f t="shared" si="76"/>
        <v>-7581.7599999999802</v>
      </c>
      <c r="N296" s="145">
        <f t="shared" si="77"/>
        <v>-3.2632300578568002E-2</v>
      </c>
      <c r="O296" s="147"/>
      <c r="P296" s="146"/>
      <c r="Q296" s="143">
        <v>342756.54000000004</v>
      </c>
      <c r="R296" s="143">
        <v>361427.32</v>
      </c>
      <c r="S296" s="144">
        <f t="shared" si="78"/>
        <v>-18670.77999999997</v>
      </c>
      <c r="T296" s="145">
        <f t="shared" si="79"/>
        <v>-5.1658463449857549E-2</v>
      </c>
      <c r="U296" s="146"/>
      <c r="V296" s="143">
        <v>1396933.1</v>
      </c>
      <c r="W296" s="143">
        <v>1532103.58</v>
      </c>
      <c r="X296" s="144">
        <f t="shared" si="80"/>
        <v>-135170.47999999998</v>
      </c>
      <c r="Y296" s="145">
        <f t="shared" si="81"/>
        <v>-8.8225418806214123E-2</v>
      </c>
      <c r="Z296" s="148"/>
      <c r="AA296" s="149">
        <v>129088.2</v>
      </c>
      <c r="AB296" s="150"/>
      <c r="AC296" s="117">
        <v>116213.57</v>
      </c>
      <c r="AD296" s="117">
        <v>116125.55</v>
      </c>
      <c r="AE296" s="117">
        <v>120868.06</v>
      </c>
      <c r="AF296" s="117">
        <v>76845.75</v>
      </c>
      <c r="AG296" s="117">
        <v>135551.76999999999</v>
      </c>
      <c r="AH296" s="117">
        <v>113089.39</v>
      </c>
      <c r="AI296" s="117">
        <v>126215.94</v>
      </c>
      <c r="AJ296" s="117">
        <v>112420.81</v>
      </c>
      <c r="AK296" s="117">
        <v>112298.90000000001</v>
      </c>
      <c r="AL296" s="117">
        <v>118002.46</v>
      </c>
      <c r="AM296" s="117">
        <v>138883.48000000001</v>
      </c>
      <c r="AN296" s="117">
        <v>117999.18000000001</v>
      </c>
      <c r="AO296" s="150"/>
      <c r="AP296" s="117">
        <v>111980.15000000001</v>
      </c>
      <c r="AQ296" s="117">
        <v>112777.21</v>
      </c>
      <c r="AR296" s="117">
        <v>0</v>
      </c>
      <c r="AS296" s="117">
        <v>0</v>
      </c>
      <c r="AT296" s="117">
        <v>0</v>
      </c>
      <c r="AU296" s="117">
        <v>0</v>
      </c>
      <c r="AV296" s="117">
        <v>0</v>
      </c>
      <c r="AW296" s="117">
        <v>0</v>
      </c>
      <c r="AX296" s="117">
        <v>0</v>
      </c>
      <c r="AY296" s="117">
        <v>0</v>
      </c>
      <c r="AZ296" s="117">
        <v>0</v>
      </c>
      <c r="BA296" s="117">
        <v>0</v>
      </c>
    </row>
    <row r="297" spans="1:53" s="138" customFormat="1" outlineLevel="2" x14ac:dyDescent="0.25">
      <c r="A297" s="138" t="s">
        <v>935</v>
      </c>
      <c r="B297" s="139" t="s">
        <v>936</v>
      </c>
      <c r="C297" s="140" t="s">
        <v>937</v>
      </c>
      <c r="D297" s="141"/>
      <c r="E297" s="142"/>
      <c r="F297" s="143">
        <v>0.22</v>
      </c>
      <c r="G297" s="143">
        <v>1580.4</v>
      </c>
      <c r="H297" s="144">
        <f t="shared" si="74"/>
        <v>-1580.18</v>
      </c>
      <c r="I297" s="145">
        <f t="shared" si="75"/>
        <v>-0.99986079473550993</v>
      </c>
      <c r="J297" s="146"/>
      <c r="K297" s="143">
        <v>1622.71</v>
      </c>
      <c r="L297" s="143">
        <v>1580.4</v>
      </c>
      <c r="M297" s="144">
        <f t="shared" si="76"/>
        <v>42.309999999999945</v>
      </c>
      <c r="N297" s="145">
        <f t="shared" si="77"/>
        <v>2.6771703366236358E-2</v>
      </c>
      <c r="O297" s="147"/>
      <c r="P297" s="146"/>
      <c r="Q297" s="143">
        <v>1862.56</v>
      </c>
      <c r="R297" s="143">
        <v>1580.4</v>
      </c>
      <c r="S297" s="144">
        <f t="shared" si="78"/>
        <v>282.15999999999985</v>
      </c>
      <c r="T297" s="145">
        <f t="shared" si="79"/>
        <v>0.17853707922045042</v>
      </c>
      <c r="U297" s="146"/>
      <c r="V297" s="143">
        <v>4318.25</v>
      </c>
      <c r="W297" s="143">
        <v>2767.44</v>
      </c>
      <c r="X297" s="144">
        <f t="shared" si="80"/>
        <v>1550.81</v>
      </c>
      <c r="Y297" s="145">
        <f t="shared" si="81"/>
        <v>0.56037709941317604</v>
      </c>
      <c r="Z297" s="148"/>
      <c r="AA297" s="149">
        <v>0</v>
      </c>
      <c r="AB297" s="150"/>
      <c r="AC297" s="117">
        <v>0</v>
      </c>
      <c r="AD297" s="117">
        <v>1580.4</v>
      </c>
      <c r="AE297" s="117">
        <v>851.5</v>
      </c>
      <c r="AF297" s="117">
        <v>0</v>
      </c>
      <c r="AG297" s="117">
        <v>0</v>
      </c>
      <c r="AH297" s="117">
        <v>0</v>
      </c>
      <c r="AI297" s="117">
        <v>0</v>
      </c>
      <c r="AJ297" s="117">
        <v>0</v>
      </c>
      <c r="AK297" s="117">
        <v>0</v>
      </c>
      <c r="AL297" s="117">
        <v>400</v>
      </c>
      <c r="AM297" s="117">
        <v>1204.19</v>
      </c>
      <c r="AN297" s="117">
        <v>239.85</v>
      </c>
      <c r="AO297" s="150"/>
      <c r="AP297" s="117">
        <v>1622.49</v>
      </c>
      <c r="AQ297" s="117">
        <v>0.22</v>
      </c>
      <c r="AR297" s="117">
        <v>0</v>
      </c>
      <c r="AS297" s="117">
        <v>0</v>
      </c>
      <c r="AT297" s="117">
        <v>0</v>
      </c>
      <c r="AU297" s="117">
        <v>0</v>
      </c>
      <c r="AV297" s="117">
        <v>0</v>
      </c>
      <c r="AW297" s="117">
        <v>0</v>
      </c>
      <c r="AX297" s="117">
        <v>0</v>
      </c>
      <c r="AY297" s="117">
        <v>0</v>
      </c>
      <c r="AZ297" s="117">
        <v>0</v>
      </c>
      <c r="BA297" s="117">
        <v>0</v>
      </c>
    </row>
    <row r="298" spans="1:53" s="138" customFormat="1" outlineLevel="2" x14ac:dyDescent="0.25">
      <c r="A298" s="138" t="s">
        <v>938</v>
      </c>
      <c r="B298" s="139" t="s">
        <v>939</v>
      </c>
      <c r="C298" s="140" t="s">
        <v>940</v>
      </c>
      <c r="D298" s="141"/>
      <c r="E298" s="142"/>
      <c r="F298" s="143">
        <v>234.61</v>
      </c>
      <c r="G298" s="143">
        <v>466.39</v>
      </c>
      <c r="H298" s="144">
        <f t="shared" si="74"/>
        <v>-231.77999999999997</v>
      </c>
      <c r="I298" s="145">
        <f t="shared" si="75"/>
        <v>-0.49696605844893754</v>
      </c>
      <c r="J298" s="146"/>
      <c r="K298" s="143">
        <v>710.98</v>
      </c>
      <c r="L298" s="143">
        <v>1549.3600000000001</v>
      </c>
      <c r="M298" s="144">
        <f t="shared" si="76"/>
        <v>-838.38000000000011</v>
      </c>
      <c r="N298" s="145">
        <f t="shared" si="77"/>
        <v>-0.5411137501936284</v>
      </c>
      <c r="O298" s="147"/>
      <c r="P298" s="146"/>
      <c r="Q298" s="143">
        <v>1558.38</v>
      </c>
      <c r="R298" s="143">
        <v>2401.54</v>
      </c>
      <c r="S298" s="144">
        <f t="shared" si="78"/>
        <v>-843.15999999999985</v>
      </c>
      <c r="T298" s="145">
        <f t="shared" si="79"/>
        <v>-0.35109138302922288</v>
      </c>
      <c r="U298" s="146"/>
      <c r="V298" s="143">
        <v>6028.0599999999995</v>
      </c>
      <c r="W298" s="143">
        <v>12399.070000000002</v>
      </c>
      <c r="X298" s="144">
        <f t="shared" si="80"/>
        <v>-6371.010000000002</v>
      </c>
      <c r="Y298" s="145">
        <f t="shared" si="81"/>
        <v>-0.51382966625722748</v>
      </c>
      <c r="Z298" s="148"/>
      <c r="AA298" s="149">
        <v>852.18000000000006</v>
      </c>
      <c r="AB298" s="150"/>
      <c r="AC298" s="117">
        <v>1082.97</v>
      </c>
      <c r="AD298" s="117">
        <v>466.39</v>
      </c>
      <c r="AE298" s="117">
        <v>376.36</v>
      </c>
      <c r="AF298" s="117">
        <v>635.19000000000005</v>
      </c>
      <c r="AG298" s="117">
        <v>211.24</v>
      </c>
      <c r="AH298" s="117">
        <v>169.53</v>
      </c>
      <c r="AI298" s="117">
        <v>1189.0899999999999</v>
      </c>
      <c r="AJ298" s="117">
        <v>864.64</v>
      </c>
      <c r="AK298" s="117">
        <v>623.03</v>
      </c>
      <c r="AL298" s="117">
        <v>162.81</v>
      </c>
      <c r="AM298" s="117">
        <v>237.79</v>
      </c>
      <c r="AN298" s="117">
        <v>847.4</v>
      </c>
      <c r="AO298" s="150"/>
      <c r="AP298" s="117">
        <v>476.37</v>
      </c>
      <c r="AQ298" s="117">
        <v>234.61</v>
      </c>
      <c r="AR298" s="117">
        <v>0</v>
      </c>
      <c r="AS298" s="117">
        <v>0</v>
      </c>
      <c r="AT298" s="117">
        <v>0</v>
      </c>
      <c r="AU298" s="117">
        <v>0</v>
      </c>
      <c r="AV298" s="117">
        <v>0</v>
      </c>
      <c r="AW298" s="117">
        <v>0</v>
      </c>
      <c r="AX298" s="117">
        <v>0</v>
      </c>
      <c r="AY298" s="117">
        <v>0</v>
      </c>
      <c r="AZ298" s="117">
        <v>0</v>
      </c>
      <c r="BA298" s="117">
        <v>0</v>
      </c>
    </row>
    <row r="299" spans="1:53" s="138" customFormat="1" outlineLevel="2" x14ac:dyDescent="0.25">
      <c r="A299" s="138" t="s">
        <v>941</v>
      </c>
      <c r="B299" s="139" t="s">
        <v>942</v>
      </c>
      <c r="C299" s="140" t="s">
        <v>943</v>
      </c>
      <c r="D299" s="141"/>
      <c r="E299" s="142"/>
      <c r="F299" s="143">
        <v>0</v>
      </c>
      <c r="G299" s="143">
        <v>0</v>
      </c>
      <c r="H299" s="144">
        <f t="shared" si="74"/>
        <v>0</v>
      </c>
      <c r="I299" s="145">
        <f t="shared" si="75"/>
        <v>0</v>
      </c>
      <c r="J299" s="146"/>
      <c r="K299" s="143">
        <v>0</v>
      </c>
      <c r="L299" s="143">
        <v>0</v>
      </c>
      <c r="M299" s="144">
        <f t="shared" si="76"/>
        <v>0</v>
      </c>
      <c r="N299" s="145">
        <f t="shared" si="77"/>
        <v>0</v>
      </c>
      <c r="O299" s="147"/>
      <c r="P299" s="146"/>
      <c r="Q299" s="143">
        <v>0</v>
      </c>
      <c r="R299" s="143">
        <v>0</v>
      </c>
      <c r="S299" s="144">
        <f t="shared" si="78"/>
        <v>0</v>
      </c>
      <c r="T299" s="145">
        <f t="shared" si="79"/>
        <v>0</v>
      </c>
      <c r="U299" s="146"/>
      <c r="V299" s="143">
        <v>0</v>
      </c>
      <c r="W299" s="143">
        <v>3454.82</v>
      </c>
      <c r="X299" s="144">
        <f t="shared" si="80"/>
        <v>-3454.82</v>
      </c>
      <c r="Y299" s="145" t="str">
        <f t="shared" si="81"/>
        <v>N.M.</v>
      </c>
      <c r="Z299" s="148"/>
      <c r="AA299" s="149">
        <v>0</v>
      </c>
      <c r="AB299" s="150"/>
      <c r="AC299" s="117">
        <v>0</v>
      </c>
      <c r="AD299" s="117">
        <v>0</v>
      </c>
      <c r="AE299" s="117">
        <v>0</v>
      </c>
      <c r="AF299" s="117">
        <v>0</v>
      </c>
      <c r="AG299" s="117">
        <v>0</v>
      </c>
      <c r="AH299" s="117">
        <v>0</v>
      </c>
      <c r="AI299" s="117">
        <v>0</v>
      </c>
      <c r="AJ299" s="117">
        <v>0</v>
      </c>
      <c r="AK299" s="117">
        <v>0</v>
      </c>
      <c r="AL299" s="117">
        <v>0</v>
      </c>
      <c r="AM299" s="117">
        <v>0</v>
      </c>
      <c r="AN299" s="117">
        <v>0</v>
      </c>
      <c r="AO299" s="150"/>
      <c r="AP299" s="117">
        <v>0</v>
      </c>
      <c r="AQ299" s="117">
        <v>0</v>
      </c>
      <c r="AR299" s="117">
        <v>0</v>
      </c>
      <c r="AS299" s="117">
        <v>0</v>
      </c>
      <c r="AT299" s="117">
        <v>0</v>
      </c>
      <c r="AU299" s="117">
        <v>0</v>
      </c>
      <c r="AV299" s="117">
        <v>0</v>
      </c>
      <c r="AW299" s="117">
        <v>0</v>
      </c>
      <c r="AX299" s="117">
        <v>0</v>
      </c>
      <c r="AY299" s="117">
        <v>0</v>
      </c>
      <c r="AZ299" s="117">
        <v>0</v>
      </c>
      <c r="BA299" s="117">
        <v>0</v>
      </c>
    </row>
    <row r="300" spans="1:53" s="138" customFormat="1" outlineLevel="2" x14ac:dyDescent="0.25">
      <c r="A300" s="138" t="s">
        <v>944</v>
      </c>
      <c r="B300" s="139" t="s">
        <v>945</v>
      </c>
      <c r="C300" s="140" t="s">
        <v>946</v>
      </c>
      <c r="D300" s="141"/>
      <c r="E300" s="142"/>
      <c r="F300" s="143">
        <v>181263.27</v>
      </c>
      <c r="G300" s="143">
        <v>157984.63</v>
      </c>
      <c r="H300" s="144">
        <f t="shared" si="74"/>
        <v>23278.639999999985</v>
      </c>
      <c r="I300" s="145">
        <f t="shared" si="75"/>
        <v>0.14734749829777735</v>
      </c>
      <c r="J300" s="146"/>
      <c r="K300" s="143">
        <v>309029.09000000003</v>
      </c>
      <c r="L300" s="143">
        <v>203100.52000000002</v>
      </c>
      <c r="M300" s="144">
        <f t="shared" si="76"/>
        <v>105928.57</v>
      </c>
      <c r="N300" s="145">
        <f t="shared" si="77"/>
        <v>0.52155735494916511</v>
      </c>
      <c r="O300" s="147"/>
      <c r="P300" s="146"/>
      <c r="Q300" s="143">
        <v>239705.68000000002</v>
      </c>
      <c r="R300" s="143">
        <v>213058.50000000003</v>
      </c>
      <c r="S300" s="144">
        <f t="shared" si="78"/>
        <v>26647.179999999993</v>
      </c>
      <c r="T300" s="145">
        <f t="shared" si="79"/>
        <v>0.12506978130419574</v>
      </c>
      <c r="U300" s="146"/>
      <c r="V300" s="143">
        <v>710230.46</v>
      </c>
      <c r="W300" s="143">
        <v>442475.78</v>
      </c>
      <c r="X300" s="144">
        <f t="shared" si="80"/>
        <v>267754.67999999993</v>
      </c>
      <c r="Y300" s="145">
        <f t="shared" si="81"/>
        <v>0.60512844341446193</v>
      </c>
      <c r="Z300" s="148"/>
      <c r="AA300" s="149">
        <v>9957.98</v>
      </c>
      <c r="AB300" s="150"/>
      <c r="AC300" s="117">
        <v>45115.89</v>
      </c>
      <c r="AD300" s="117">
        <v>157984.63</v>
      </c>
      <c r="AE300" s="117">
        <v>8202.33</v>
      </c>
      <c r="AF300" s="117">
        <v>55326.18</v>
      </c>
      <c r="AG300" s="117">
        <v>56547.67</v>
      </c>
      <c r="AH300" s="117">
        <v>9539.2800000000007</v>
      </c>
      <c r="AI300" s="117">
        <v>82611.28</v>
      </c>
      <c r="AJ300" s="117">
        <v>58481.01</v>
      </c>
      <c r="AK300" s="117">
        <v>74463.98</v>
      </c>
      <c r="AL300" s="117">
        <v>166695.23000000001</v>
      </c>
      <c r="AM300" s="117">
        <v>-41342.18</v>
      </c>
      <c r="AN300" s="117">
        <v>-69323.41</v>
      </c>
      <c r="AO300" s="150"/>
      <c r="AP300" s="117">
        <v>127765.82</v>
      </c>
      <c r="AQ300" s="117">
        <v>181263.27</v>
      </c>
      <c r="AR300" s="117">
        <v>1921.96</v>
      </c>
      <c r="AS300" s="117">
        <v>0</v>
      </c>
      <c r="AT300" s="117">
        <v>0</v>
      </c>
      <c r="AU300" s="117">
        <v>0</v>
      </c>
      <c r="AV300" s="117">
        <v>0</v>
      </c>
      <c r="AW300" s="117">
        <v>0</v>
      </c>
      <c r="AX300" s="117">
        <v>0</v>
      </c>
      <c r="AY300" s="117">
        <v>0</v>
      </c>
      <c r="AZ300" s="117">
        <v>0</v>
      </c>
      <c r="BA300" s="117">
        <v>0</v>
      </c>
    </row>
    <row r="301" spans="1:53" s="138" customFormat="1" outlineLevel="2" x14ac:dyDescent="0.25">
      <c r="A301" s="138" t="s">
        <v>947</v>
      </c>
      <c r="B301" s="139" t="s">
        <v>948</v>
      </c>
      <c r="C301" s="140" t="s">
        <v>949</v>
      </c>
      <c r="D301" s="141"/>
      <c r="E301" s="142"/>
      <c r="F301" s="143">
        <v>650.41999999999996</v>
      </c>
      <c r="G301" s="143">
        <v>489.84000000000003</v>
      </c>
      <c r="H301" s="144">
        <f t="shared" si="74"/>
        <v>160.57999999999993</v>
      </c>
      <c r="I301" s="145">
        <f t="shared" si="75"/>
        <v>0.32782132941368591</v>
      </c>
      <c r="J301" s="146"/>
      <c r="K301" s="143">
        <v>23356.84</v>
      </c>
      <c r="L301" s="143">
        <v>52367.71</v>
      </c>
      <c r="M301" s="144">
        <f t="shared" si="76"/>
        <v>-29010.87</v>
      </c>
      <c r="N301" s="145">
        <f t="shared" si="77"/>
        <v>-0.55398393399291279</v>
      </c>
      <c r="O301" s="147"/>
      <c r="P301" s="146"/>
      <c r="Q301" s="143">
        <v>27082.29</v>
      </c>
      <c r="R301" s="143">
        <v>78421.06</v>
      </c>
      <c r="S301" s="144">
        <f t="shared" si="78"/>
        <v>-51338.77</v>
      </c>
      <c r="T301" s="145">
        <f t="shared" si="79"/>
        <v>-0.65465539486459379</v>
      </c>
      <c r="U301" s="146"/>
      <c r="V301" s="143">
        <v>241892.98</v>
      </c>
      <c r="W301" s="143">
        <v>484527.46</v>
      </c>
      <c r="X301" s="144">
        <f t="shared" si="80"/>
        <v>-242634.48</v>
      </c>
      <c r="Y301" s="145">
        <f t="shared" si="81"/>
        <v>-0.50076517851021285</v>
      </c>
      <c r="Z301" s="148"/>
      <c r="AA301" s="149">
        <v>26053.350000000002</v>
      </c>
      <c r="AB301" s="150"/>
      <c r="AC301" s="117">
        <v>51877.87</v>
      </c>
      <c r="AD301" s="117">
        <v>489.84000000000003</v>
      </c>
      <c r="AE301" s="117">
        <v>23774.560000000001</v>
      </c>
      <c r="AF301" s="117">
        <v>90134.75</v>
      </c>
      <c r="AG301" s="117">
        <v>60511.6</v>
      </c>
      <c r="AH301" s="117">
        <v>16441.2</v>
      </c>
      <c r="AI301" s="117">
        <v>764.39</v>
      </c>
      <c r="AJ301" s="117">
        <v>4250.57</v>
      </c>
      <c r="AK301" s="117">
        <v>3547.53</v>
      </c>
      <c r="AL301" s="117">
        <v>1523.91</v>
      </c>
      <c r="AM301" s="117">
        <v>13862.18</v>
      </c>
      <c r="AN301" s="117">
        <v>3725.4500000000003</v>
      </c>
      <c r="AO301" s="150"/>
      <c r="AP301" s="117">
        <v>22706.420000000002</v>
      </c>
      <c r="AQ301" s="117">
        <v>650.41999999999996</v>
      </c>
      <c r="AR301" s="117">
        <v>967.58</v>
      </c>
      <c r="AS301" s="117">
        <v>0</v>
      </c>
      <c r="AT301" s="117">
        <v>0</v>
      </c>
      <c r="AU301" s="117">
        <v>0</v>
      </c>
      <c r="AV301" s="117">
        <v>0</v>
      </c>
      <c r="AW301" s="117">
        <v>0</v>
      </c>
      <c r="AX301" s="117">
        <v>0</v>
      </c>
      <c r="AY301" s="117">
        <v>0</v>
      </c>
      <c r="AZ301" s="117">
        <v>0</v>
      </c>
      <c r="BA301" s="117">
        <v>0</v>
      </c>
    </row>
    <row r="302" spans="1:53" s="138" customFormat="1" outlineLevel="2" x14ac:dyDescent="0.25">
      <c r="A302" s="138" t="s">
        <v>950</v>
      </c>
      <c r="B302" s="139" t="s">
        <v>951</v>
      </c>
      <c r="C302" s="140" t="s">
        <v>952</v>
      </c>
      <c r="D302" s="141"/>
      <c r="E302" s="142"/>
      <c r="F302" s="143">
        <v>-19641.740000000002</v>
      </c>
      <c r="G302" s="143">
        <v>-14394.27</v>
      </c>
      <c r="H302" s="144">
        <f t="shared" si="74"/>
        <v>-5247.4700000000012</v>
      </c>
      <c r="I302" s="145">
        <f t="shared" si="75"/>
        <v>-0.36455270048429</v>
      </c>
      <c r="J302" s="146"/>
      <c r="K302" s="143">
        <v>-34120.5</v>
      </c>
      <c r="L302" s="143">
        <v>-26593.07</v>
      </c>
      <c r="M302" s="144">
        <f t="shared" si="76"/>
        <v>-7527.43</v>
      </c>
      <c r="N302" s="145">
        <f t="shared" si="77"/>
        <v>-0.28305983476146229</v>
      </c>
      <c r="O302" s="147"/>
      <c r="P302" s="146"/>
      <c r="Q302" s="143">
        <v>-54550.59</v>
      </c>
      <c r="R302" s="143">
        <v>-38829.96</v>
      </c>
      <c r="S302" s="144">
        <f t="shared" si="78"/>
        <v>-15720.629999999997</v>
      </c>
      <c r="T302" s="145">
        <f t="shared" si="79"/>
        <v>-0.40485825893202049</v>
      </c>
      <c r="U302" s="146"/>
      <c r="V302" s="143">
        <v>-231271.79</v>
      </c>
      <c r="W302" s="143">
        <v>-164561.96000000002</v>
      </c>
      <c r="X302" s="144">
        <f t="shared" si="80"/>
        <v>-66709.829999999987</v>
      </c>
      <c r="Y302" s="145">
        <f t="shared" si="81"/>
        <v>-0.40537819311340229</v>
      </c>
      <c r="Z302" s="148"/>
      <c r="AA302" s="149">
        <v>-12236.89</v>
      </c>
      <c r="AB302" s="150"/>
      <c r="AC302" s="117">
        <v>-12198.800000000001</v>
      </c>
      <c r="AD302" s="117">
        <v>-14394.27</v>
      </c>
      <c r="AE302" s="117">
        <v>-15203.1</v>
      </c>
      <c r="AF302" s="117">
        <v>-18690.600000000002</v>
      </c>
      <c r="AG302" s="117">
        <v>-12889.550000000001</v>
      </c>
      <c r="AH302" s="117">
        <v>-12075.65</v>
      </c>
      <c r="AI302" s="117">
        <v>-17964.650000000001</v>
      </c>
      <c r="AJ302" s="117">
        <v>-21724.31</v>
      </c>
      <c r="AK302" s="117">
        <v>-33383.29</v>
      </c>
      <c r="AL302" s="117">
        <v>-21628.44</v>
      </c>
      <c r="AM302" s="117">
        <v>-23161.61</v>
      </c>
      <c r="AN302" s="117">
        <v>-20430.09</v>
      </c>
      <c r="AO302" s="150"/>
      <c r="AP302" s="117">
        <v>-14478.76</v>
      </c>
      <c r="AQ302" s="117">
        <v>-19641.740000000002</v>
      </c>
      <c r="AR302" s="117">
        <v>-9789.7800000000007</v>
      </c>
      <c r="AS302" s="117">
        <v>0</v>
      </c>
      <c r="AT302" s="117">
        <v>0</v>
      </c>
      <c r="AU302" s="117">
        <v>0</v>
      </c>
      <c r="AV302" s="117">
        <v>0</v>
      </c>
      <c r="AW302" s="117">
        <v>0</v>
      </c>
      <c r="AX302" s="117">
        <v>0</v>
      </c>
      <c r="AY302" s="117">
        <v>0</v>
      </c>
      <c r="AZ302" s="117">
        <v>0</v>
      </c>
      <c r="BA302" s="117">
        <v>0</v>
      </c>
    </row>
    <row r="303" spans="1:53" s="138" customFormat="1" outlineLevel="2" x14ac:dyDescent="0.25">
      <c r="A303" s="138" t="s">
        <v>953</v>
      </c>
      <c r="B303" s="139" t="s">
        <v>954</v>
      </c>
      <c r="C303" s="140" t="s">
        <v>955</v>
      </c>
      <c r="D303" s="141"/>
      <c r="E303" s="142"/>
      <c r="F303" s="143">
        <v>816.33</v>
      </c>
      <c r="G303" s="143">
        <v>3270.9</v>
      </c>
      <c r="H303" s="144">
        <f t="shared" si="74"/>
        <v>-2454.5700000000002</v>
      </c>
      <c r="I303" s="145">
        <f t="shared" si="75"/>
        <v>-0.7504264881225351</v>
      </c>
      <c r="J303" s="146"/>
      <c r="K303" s="143">
        <v>1284.96</v>
      </c>
      <c r="L303" s="143">
        <v>3565.98</v>
      </c>
      <c r="M303" s="144">
        <f t="shared" si="76"/>
        <v>-2281.02</v>
      </c>
      <c r="N303" s="145">
        <f t="shared" si="77"/>
        <v>-0.63966146753487119</v>
      </c>
      <c r="O303" s="147"/>
      <c r="P303" s="146"/>
      <c r="Q303" s="143">
        <v>2348.29</v>
      </c>
      <c r="R303" s="143">
        <v>3872</v>
      </c>
      <c r="S303" s="144">
        <f t="shared" si="78"/>
        <v>-1523.71</v>
      </c>
      <c r="T303" s="145">
        <f t="shared" si="79"/>
        <v>-0.3935201446280992</v>
      </c>
      <c r="U303" s="146"/>
      <c r="V303" s="143">
        <v>14560.740000000002</v>
      </c>
      <c r="W303" s="143">
        <v>7060.9</v>
      </c>
      <c r="X303" s="144">
        <f t="shared" si="80"/>
        <v>7499.840000000002</v>
      </c>
      <c r="Y303" s="145">
        <f t="shared" si="81"/>
        <v>1.0621648798311834</v>
      </c>
      <c r="Z303" s="148"/>
      <c r="AA303" s="149">
        <v>306.02</v>
      </c>
      <c r="AB303" s="150"/>
      <c r="AC303" s="117">
        <v>295.08</v>
      </c>
      <c r="AD303" s="117">
        <v>3270.9</v>
      </c>
      <c r="AE303" s="117">
        <v>1352.25</v>
      </c>
      <c r="AF303" s="117">
        <v>1382.1000000000001</v>
      </c>
      <c r="AG303" s="117">
        <v>3618.87</v>
      </c>
      <c r="AH303" s="117">
        <v>277.54000000000002</v>
      </c>
      <c r="AI303" s="117">
        <v>683.02</v>
      </c>
      <c r="AJ303" s="117">
        <v>1594.77</v>
      </c>
      <c r="AK303" s="117">
        <v>534.31000000000006</v>
      </c>
      <c r="AL303" s="117">
        <v>933.26</v>
      </c>
      <c r="AM303" s="117">
        <v>1836.33</v>
      </c>
      <c r="AN303" s="117">
        <v>1063.33</v>
      </c>
      <c r="AO303" s="150"/>
      <c r="AP303" s="117">
        <v>468.63</v>
      </c>
      <c r="AQ303" s="117">
        <v>816.33</v>
      </c>
      <c r="AR303" s="117">
        <v>1948.08</v>
      </c>
      <c r="AS303" s="117">
        <v>0</v>
      </c>
      <c r="AT303" s="117">
        <v>0</v>
      </c>
      <c r="AU303" s="117">
        <v>0</v>
      </c>
      <c r="AV303" s="117">
        <v>0</v>
      </c>
      <c r="AW303" s="117">
        <v>0</v>
      </c>
      <c r="AX303" s="117">
        <v>0</v>
      </c>
      <c r="AY303" s="117">
        <v>0</v>
      </c>
      <c r="AZ303" s="117">
        <v>0</v>
      </c>
      <c r="BA303" s="117">
        <v>0</v>
      </c>
    </row>
    <row r="304" spans="1:53" s="138" customFormat="1" outlineLevel="2" x14ac:dyDescent="0.25">
      <c r="A304" s="138" t="s">
        <v>956</v>
      </c>
      <c r="B304" s="139" t="s">
        <v>957</v>
      </c>
      <c r="C304" s="140" t="s">
        <v>958</v>
      </c>
      <c r="D304" s="141"/>
      <c r="E304" s="142"/>
      <c r="F304" s="143">
        <v>1948.6000000000001</v>
      </c>
      <c r="G304" s="143">
        <v>1354.14</v>
      </c>
      <c r="H304" s="144">
        <f t="shared" si="74"/>
        <v>594.46</v>
      </c>
      <c r="I304" s="145">
        <f t="shared" si="75"/>
        <v>0.43899449096843751</v>
      </c>
      <c r="J304" s="146"/>
      <c r="K304" s="143">
        <v>3748.04</v>
      </c>
      <c r="L304" s="143">
        <v>2994.56</v>
      </c>
      <c r="M304" s="144">
        <f t="shared" si="76"/>
        <v>753.48</v>
      </c>
      <c r="N304" s="145">
        <f t="shared" si="77"/>
        <v>0.25161626415900834</v>
      </c>
      <c r="O304" s="147"/>
      <c r="P304" s="146"/>
      <c r="Q304" s="143">
        <v>5802.04</v>
      </c>
      <c r="R304" s="143">
        <v>4647.01</v>
      </c>
      <c r="S304" s="144">
        <f t="shared" si="78"/>
        <v>1155.0299999999997</v>
      </c>
      <c r="T304" s="145">
        <f t="shared" si="79"/>
        <v>0.24855337087718762</v>
      </c>
      <c r="U304" s="146"/>
      <c r="V304" s="143">
        <v>22295.74</v>
      </c>
      <c r="W304" s="143">
        <v>22344.54</v>
      </c>
      <c r="X304" s="144">
        <f t="shared" si="80"/>
        <v>-48.799999999999272</v>
      </c>
      <c r="Y304" s="145">
        <f t="shared" si="81"/>
        <v>-2.1839787258990011E-3</v>
      </c>
      <c r="Z304" s="148"/>
      <c r="AA304" s="149">
        <v>1652.45</v>
      </c>
      <c r="AB304" s="150"/>
      <c r="AC304" s="117">
        <v>1640.42</v>
      </c>
      <c r="AD304" s="117">
        <v>1354.14</v>
      </c>
      <c r="AE304" s="117">
        <v>2313.15</v>
      </c>
      <c r="AF304" s="117">
        <v>1991.19</v>
      </c>
      <c r="AG304" s="117">
        <v>1656.45</v>
      </c>
      <c r="AH304" s="117">
        <v>1733.06</v>
      </c>
      <c r="AI304" s="117">
        <v>2132.38</v>
      </c>
      <c r="AJ304" s="117">
        <v>1082.6200000000001</v>
      </c>
      <c r="AK304" s="117">
        <v>2252.1799999999998</v>
      </c>
      <c r="AL304" s="117">
        <v>1671.77</v>
      </c>
      <c r="AM304" s="117">
        <v>1660.9</v>
      </c>
      <c r="AN304" s="117">
        <v>2054</v>
      </c>
      <c r="AO304" s="150"/>
      <c r="AP304" s="117">
        <v>1799.44</v>
      </c>
      <c r="AQ304" s="117">
        <v>1948.6000000000001</v>
      </c>
      <c r="AR304" s="117">
        <v>0</v>
      </c>
      <c r="AS304" s="117">
        <v>0</v>
      </c>
      <c r="AT304" s="117">
        <v>0</v>
      </c>
      <c r="AU304" s="117">
        <v>0</v>
      </c>
      <c r="AV304" s="117">
        <v>0</v>
      </c>
      <c r="AW304" s="117">
        <v>0</v>
      </c>
      <c r="AX304" s="117">
        <v>0</v>
      </c>
      <c r="AY304" s="117">
        <v>0</v>
      </c>
      <c r="AZ304" s="117">
        <v>0</v>
      </c>
      <c r="BA304" s="117">
        <v>0</v>
      </c>
    </row>
    <row r="305" spans="1:53" s="138" customFormat="1" outlineLevel="2" x14ac:dyDescent="0.25">
      <c r="A305" s="138" t="s">
        <v>959</v>
      </c>
      <c r="B305" s="139" t="s">
        <v>960</v>
      </c>
      <c r="C305" s="140" t="s">
        <v>961</v>
      </c>
      <c r="D305" s="141"/>
      <c r="E305" s="142"/>
      <c r="F305" s="143">
        <v>159</v>
      </c>
      <c r="G305" s="143">
        <v>4632</v>
      </c>
      <c r="H305" s="144">
        <f t="shared" si="74"/>
        <v>-4473</v>
      </c>
      <c r="I305" s="145">
        <f t="shared" si="75"/>
        <v>-0.96567357512953367</v>
      </c>
      <c r="J305" s="146"/>
      <c r="K305" s="143">
        <v>2563</v>
      </c>
      <c r="L305" s="143">
        <v>-2460</v>
      </c>
      <c r="M305" s="144">
        <f t="shared" si="76"/>
        <v>5023</v>
      </c>
      <c r="N305" s="145">
        <f t="shared" si="77"/>
        <v>2.0418699186991871</v>
      </c>
      <c r="O305" s="147"/>
      <c r="P305" s="146"/>
      <c r="Q305" s="143">
        <v>6352.12</v>
      </c>
      <c r="R305" s="143">
        <v>8100</v>
      </c>
      <c r="S305" s="144">
        <f t="shared" si="78"/>
        <v>-1747.88</v>
      </c>
      <c r="T305" s="145">
        <f t="shared" si="79"/>
        <v>-0.21578765432098768</v>
      </c>
      <c r="U305" s="146"/>
      <c r="V305" s="143">
        <v>46842.12</v>
      </c>
      <c r="W305" s="143">
        <v>38842</v>
      </c>
      <c r="X305" s="144">
        <f t="shared" si="80"/>
        <v>8000.1200000000026</v>
      </c>
      <c r="Y305" s="145">
        <f t="shared" si="81"/>
        <v>0.2059657072241389</v>
      </c>
      <c r="Z305" s="148"/>
      <c r="AA305" s="149">
        <v>10560</v>
      </c>
      <c r="AB305" s="150"/>
      <c r="AC305" s="117">
        <v>-7092</v>
      </c>
      <c r="AD305" s="117">
        <v>4632</v>
      </c>
      <c r="AE305" s="117">
        <v>10146</v>
      </c>
      <c r="AF305" s="117">
        <v>2253</v>
      </c>
      <c r="AG305" s="117">
        <v>3878</v>
      </c>
      <c r="AH305" s="117">
        <v>432</v>
      </c>
      <c r="AI305" s="117">
        <v>-43</v>
      </c>
      <c r="AJ305" s="117">
        <v>7366</v>
      </c>
      <c r="AK305" s="117">
        <v>-710</v>
      </c>
      <c r="AL305" s="117">
        <v>8394</v>
      </c>
      <c r="AM305" s="117">
        <v>8774</v>
      </c>
      <c r="AN305" s="117">
        <v>3789.12</v>
      </c>
      <c r="AO305" s="150"/>
      <c r="AP305" s="117">
        <v>2404</v>
      </c>
      <c r="AQ305" s="117">
        <v>159</v>
      </c>
      <c r="AR305" s="117">
        <v>-5337</v>
      </c>
      <c r="AS305" s="117">
        <v>0</v>
      </c>
      <c r="AT305" s="117">
        <v>0</v>
      </c>
      <c r="AU305" s="117">
        <v>0</v>
      </c>
      <c r="AV305" s="117">
        <v>0</v>
      </c>
      <c r="AW305" s="117">
        <v>0</v>
      </c>
      <c r="AX305" s="117">
        <v>0</v>
      </c>
      <c r="AY305" s="117">
        <v>0</v>
      </c>
      <c r="AZ305" s="117">
        <v>0</v>
      </c>
      <c r="BA305" s="117">
        <v>0</v>
      </c>
    </row>
    <row r="306" spans="1:53" s="138" customFormat="1" outlineLevel="2" x14ac:dyDescent="0.25">
      <c r="A306" s="138" t="s">
        <v>962</v>
      </c>
      <c r="B306" s="139" t="s">
        <v>963</v>
      </c>
      <c r="C306" s="140" t="s">
        <v>964</v>
      </c>
      <c r="D306" s="141"/>
      <c r="E306" s="142"/>
      <c r="F306" s="143">
        <v>194483.24</v>
      </c>
      <c r="G306" s="143">
        <v>227165.06</v>
      </c>
      <c r="H306" s="144">
        <f t="shared" si="74"/>
        <v>-32681.820000000007</v>
      </c>
      <c r="I306" s="145">
        <f t="shared" si="75"/>
        <v>-0.14386816352831727</v>
      </c>
      <c r="J306" s="146"/>
      <c r="K306" s="143">
        <v>388891.69</v>
      </c>
      <c r="L306" s="143">
        <v>454332.12</v>
      </c>
      <c r="M306" s="144">
        <f t="shared" si="76"/>
        <v>-65440.429999999993</v>
      </c>
      <c r="N306" s="145">
        <f t="shared" si="77"/>
        <v>-0.14403654753707484</v>
      </c>
      <c r="O306" s="147"/>
      <c r="P306" s="146"/>
      <c r="Q306" s="143">
        <v>592391.5</v>
      </c>
      <c r="R306" s="143">
        <v>739347.94</v>
      </c>
      <c r="S306" s="144">
        <f t="shared" si="78"/>
        <v>-146956.43999999994</v>
      </c>
      <c r="T306" s="145">
        <f t="shared" si="79"/>
        <v>-0.19876492791742945</v>
      </c>
      <c r="U306" s="146"/>
      <c r="V306" s="143">
        <v>2376773.38</v>
      </c>
      <c r="W306" s="143">
        <v>3281287.45</v>
      </c>
      <c r="X306" s="144">
        <f t="shared" si="80"/>
        <v>-904514.0700000003</v>
      </c>
      <c r="Y306" s="145">
        <f t="shared" si="81"/>
        <v>-0.27565828467725384</v>
      </c>
      <c r="Z306" s="148"/>
      <c r="AA306" s="149">
        <v>285015.82</v>
      </c>
      <c r="AB306" s="150"/>
      <c r="AC306" s="117">
        <v>227167.06</v>
      </c>
      <c r="AD306" s="117">
        <v>227165.06</v>
      </c>
      <c r="AE306" s="117">
        <v>156298.72</v>
      </c>
      <c r="AF306" s="117">
        <v>203543.57</v>
      </c>
      <c r="AG306" s="117">
        <v>203506.62</v>
      </c>
      <c r="AH306" s="117">
        <v>203499.23</v>
      </c>
      <c r="AI306" s="117">
        <v>203519.53</v>
      </c>
      <c r="AJ306" s="117">
        <v>203164.23</v>
      </c>
      <c r="AK306" s="117">
        <v>203843.32</v>
      </c>
      <c r="AL306" s="117">
        <v>203500.2</v>
      </c>
      <c r="AM306" s="117">
        <v>203506.46</v>
      </c>
      <c r="AN306" s="117">
        <v>203499.81</v>
      </c>
      <c r="AO306" s="150"/>
      <c r="AP306" s="117">
        <v>194408.45</v>
      </c>
      <c r="AQ306" s="117">
        <v>194483.24</v>
      </c>
      <c r="AR306" s="117">
        <v>-421.82</v>
      </c>
      <c r="AS306" s="117">
        <v>0</v>
      </c>
      <c r="AT306" s="117">
        <v>0</v>
      </c>
      <c r="AU306" s="117">
        <v>0</v>
      </c>
      <c r="AV306" s="117">
        <v>0</v>
      </c>
      <c r="AW306" s="117">
        <v>0</v>
      </c>
      <c r="AX306" s="117">
        <v>0</v>
      </c>
      <c r="AY306" s="117">
        <v>0</v>
      </c>
      <c r="AZ306" s="117">
        <v>0</v>
      </c>
      <c r="BA306" s="117">
        <v>0</v>
      </c>
    </row>
    <row r="307" spans="1:53" s="138" customFormat="1" outlineLevel="2" x14ac:dyDescent="0.25">
      <c r="A307" s="138" t="s">
        <v>965</v>
      </c>
      <c r="B307" s="139" t="s">
        <v>966</v>
      </c>
      <c r="C307" s="140" t="s">
        <v>967</v>
      </c>
      <c r="D307" s="141"/>
      <c r="E307" s="142"/>
      <c r="F307" s="143">
        <v>12062.2</v>
      </c>
      <c r="G307" s="143">
        <v>9846.0500000000011</v>
      </c>
      <c r="H307" s="144">
        <f t="shared" si="74"/>
        <v>2216.1499999999996</v>
      </c>
      <c r="I307" s="145">
        <f t="shared" si="75"/>
        <v>0.2250801082667668</v>
      </c>
      <c r="J307" s="146"/>
      <c r="K307" s="143">
        <v>24374.93</v>
      </c>
      <c r="L307" s="143">
        <v>24497.350000000002</v>
      </c>
      <c r="M307" s="144">
        <f t="shared" si="76"/>
        <v>-122.42000000000189</v>
      </c>
      <c r="N307" s="145">
        <f t="shared" si="77"/>
        <v>-4.9972752154825674E-3</v>
      </c>
      <c r="O307" s="147"/>
      <c r="P307" s="146"/>
      <c r="Q307" s="143">
        <v>36645.31</v>
      </c>
      <c r="R307" s="143">
        <v>34409.61</v>
      </c>
      <c r="S307" s="144">
        <f t="shared" si="78"/>
        <v>2235.6999999999971</v>
      </c>
      <c r="T307" s="145">
        <f t="shared" si="79"/>
        <v>6.4973128146468301E-2</v>
      </c>
      <c r="U307" s="146"/>
      <c r="V307" s="143">
        <v>147289.42000000001</v>
      </c>
      <c r="W307" s="143">
        <v>127523.89000000001</v>
      </c>
      <c r="X307" s="144">
        <f t="shared" si="80"/>
        <v>19765.53</v>
      </c>
      <c r="Y307" s="145">
        <f t="shared" si="81"/>
        <v>0.15499472294955868</v>
      </c>
      <c r="Z307" s="148"/>
      <c r="AA307" s="149">
        <v>9912.26</v>
      </c>
      <c r="AB307" s="150"/>
      <c r="AC307" s="117">
        <v>14651.300000000001</v>
      </c>
      <c r="AD307" s="117">
        <v>9846.0500000000011</v>
      </c>
      <c r="AE307" s="117">
        <v>13887.460000000001</v>
      </c>
      <c r="AF307" s="117">
        <v>11727.18</v>
      </c>
      <c r="AG307" s="117">
        <v>11662.64</v>
      </c>
      <c r="AH307" s="117">
        <v>12638.29</v>
      </c>
      <c r="AI307" s="117">
        <v>12506.51</v>
      </c>
      <c r="AJ307" s="117">
        <v>11843.2</v>
      </c>
      <c r="AK307" s="117">
        <v>12071.49</v>
      </c>
      <c r="AL307" s="117">
        <v>12020.01</v>
      </c>
      <c r="AM307" s="117">
        <v>12287.33</v>
      </c>
      <c r="AN307" s="117">
        <v>12270.380000000001</v>
      </c>
      <c r="AO307" s="150"/>
      <c r="AP307" s="117">
        <v>12312.73</v>
      </c>
      <c r="AQ307" s="117">
        <v>12062.2</v>
      </c>
      <c r="AR307" s="117">
        <v>0</v>
      </c>
      <c r="AS307" s="117">
        <v>0</v>
      </c>
      <c r="AT307" s="117">
        <v>0</v>
      </c>
      <c r="AU307" s="117">
        <v>0</v>
      </c>
      <c r="AV307" s="117">
        <v>0</v>
      </c>
      <c r="AW307" s="117">
        <v>0</v>
      </c>
      <c r="AX307" s="117">
        <v>0</v>
      </c>
      <c r="AY307" s="117">
        <v>0</v>
      </c>
      <c r="AZ307" s="117">
        <v>0</v>
      </c>
      <c r="BA307" s="117">
        <v>0</v>
      </c>
    </row>
    <row r="308" spans="1:53" s="138" customFormat="1" outlineLevel="2" x14ac:dyDescent="0.25">
      <c r="A308" s="138" t="s">
        <v>968</v>
      </c>
      <c r="B308" s="139" t="s">
        <v>969</v>
      </c>
      <c r="C308" s="140" t="s">
        <v>970</v>
      </c>
      <c r="D308" s="141"/>
      <c r="E308" s="142"/>
      <c r="F308" s="143">
        <v>796.77</v>
      </c>
      <c r="G308" s="143">
        <v>302053.55</v>
      </c>
      <c r="H308" s="144">
        <f t="shared" si="74"/>
        <v>-301256.77999999997</v>
      </c>
      <c r="I308" s="145">
        <f t="shared" si="75"/>
        <v>-0.99736215647854487</v>
      </c>
      <c r="J308" s="146"/>
      <c r="K308" s="143">
        <v>466383.97000000003</v>
      </c>
      <c r="L308" s="143">
        <v>772431.58</v>
      </c>
      <c r="M308" s="144">
        <f t="shared" si="76"/>
        <v>-306047.60999999993</v>
      </c>
      <c r="N308" s="145">
        <f t="shared" si="77"/>
        <v>-0.39621322836127432</v>
      </c>
      <c r="O308" s="147"/>
      <c r="P308" s="146"/>
      <c r="Q308" s="143">
        <v>845383.34000000008</v>
      </c>
      <c r="R308" s="143">
        <v>1360757.1400000001</v>
      </c>
      <c r="S308" s="144">
        <f t="shared" si="78"/>
        <v>-515373.80000000005</v>
      </c>
      <c r="T308" s="145">
        <f t="shared" si="79"/>
        <v>-0.3787404709116573</v>
      </c>
      <c r="U308" s="146"/>
      <c r="V308" s="143">
        <v>4403005.9799999995</v>
      </c>
      <c r="W308" s="143">
        <v>5180462.21</v>
      </c>
      <c r="X308" s="144">
        <f t="shared" si="80"/>
        <v>-777456.23000000045</v>
      </c>
      <c r="Y308" s="145">
        <f t="shared" si="81"/>
        <v>-0.15007468416606795</v>
      </c>
      <c r="Z308" s="148"/>
      <c r="AA308" s="149">
        <v>588325.56000000006</v>
      </c>
      <c r="AB308" s="150"/>
      <c r="AC308" s="117">
        <v>470378.03</v>
      </c>
      <c r="AD308" s="117">
        <v>302053.55</v>
      </c>
      <c r="AE308" s="117">
        <v>502651.18</v>
      </c>
      <c r="AF308" s="117">
        <v>389046.98</v>
      </c>
      <c r="AG308" s="117">
        <v>382554.08</v>
      </c>
      <c r="AH308" s="117">
        <v>382901.51</v>
      </c>
      <c r="AI308" s="117">
        <v>379963.10000000003</v>
      </c>
      <c r="AJ308" s="117">
        <v>378788.01</v>
      </c>
      <c r="AK308" s="117">
        <v>381955.91000000003</v>
      </c>
      <c r="AL308" s="117">
        <v>380691.41000000003</v>
      </c>
      <c r="AM308" s="117">
        <v>379070.46</v>
      </c>
      <c r="AN308" s="117">
        <v>378999.37</v>
      </c>
      <c r="AO308" s="150"/>
      <c r="AP308" s="117">
        <v>465587.20000000001</v>
      </c>
      <c r="AQ308" s="117">
        <v>796.77</v>
      </c>
      <c r="AR308" s="117">
        <v>512602.32</v>
      </c>
      <c r="AS308" s="117">
        <v>0</v>
      </c>
      <c r="AT308" s="117">
        <v>0</v>
      </c>
      <c r="AU308" s="117">
        <v>0</v>
      </c>
      <c r="AV308" s="117">
        <v>0</v>
      </c>
      <c r="AW308" s="117">
        <v>0</v>
      </c>
      <c r="AX308" s="117">
        <v>0</v>
      </c>
      <c r="AY308" s="117">
        <v>0</v>
      </c>
      <c r="AZ308" s="117">
        <v>0</v>
      </c>
      <c r="BA308" s="117">
        <v>0</v>
      </c>
    </row>
    <row r="309" spans="1:53" s="138" customFormat="1" outlineLevel="2" x14ac:dyDescent="0.25">
      <c r="A309" s="138" t="s">
        <v>971</v>
      </c>
      <c r="B309" s="139" t="s">
        <v>972</v>
      </c>
      <c r="C309" s="140" t="s">
        <v>973</v>
      </c>
      <c r="D309" s="141"/>
      <c r="E309" s="142"/>
      <c r="F309" s="143">
        <v>0</v>
      </c>
      <c r="G309" s="143">
        <v>0</v>
      </c>
      <c r="H309" s="144">
        <f t="shared" si="74"/>
        <v>0</v>
      </c>
      <c r="I309" s="145">
        <f t="shared" si="75"/>
        <v>0</v>
      </c>
      <c r="J309" s="146"/>
      <c r="K309" s="143">
        <v>0</v>
      </c>
      <c r="L309" s="143">
        <v>0</v>
      </c>
      <c r="M309" s="144">
        <f t="shared" si="76"/>
        <v>0</v>
      </c>
      <c r="N309" s="145">
        <f t="shared" si="77"/>
        <v>0</v>
      </c>
      <c r="O309" s="147"/>
      <c r="P309" s="146"/>
      <c r="Q309" s="143">
        <v>0</v>
      </c>
      <c r="R309" s="143">
        <v>0</v>
      </c>
      <c r="S309" s="144">
        <f t="shared" si="78"/>
        <v>0</v>
      </c>
      <c r="T309" s="145">
        <f t="shared" si="79"/>
        <v>0</v>
      </c>
      <c r="U309" s="146"/>
      <c r="V309" s="143">
        <v>0</v>
      </c>
      <c r="W309" s="143">
        <v>59.44</v>
      </c>
      <c r="X309" s="144">
        <f t="shared" si="80"/>
        <v>-59.44</v>
      </c>
      <c r="Y309" s="145" t="str">
        <f t="shared" si="81"/>
        <v>N.M.</v>
      </c>
      <c r="Z309" s="148"/>
      <c r="AA309" s="149">
        <v>0</v>
      </c>
      <c r="AB309" s="150"/>
      <c r="AC309" s="117">
        <v>0</v>
      </c>
      <c r="AD309" s="117">
        <v>0</v>
      </c>
      <c r="AE309" s="117">
        <v>0</v>
      </c>
      <c r="AF309" s="117">
        <v>0</v>
      </c>
      <c r="AG309" s="117">
        <v>0</v>
      </c>
      <c r="AH309" s="117">
        <v>0</v>
      </c>
      <c r="AI309" s="117">
        <v>0</v>
      </c>
      <c r="AJ309" s="117">
        <v>0</v>
      </c>
      <c r="AK309" s="117">
        <v>0</v>
      </c>
      <c r="AL309" s="117">
        <v>0</v>
      </c>
      <c r="AM309" s="117">
        <v>0</v>
      </c>
      <c r="AN309" s="117">
        <v>0</v>
      </c>
      <c r="AO309" s="150"/>
      <c r="AP309" s="117">
        <v>0</v>
      </c>
      <c r="AQ309" s="117">
        <v>0</v>
      </c>
      <c r="AR309" s="117">
        <v>0</v>
      </c>
      <c r="AS309" s="117">
        <v>0</v>
      </c>
      <c r="AT309" s="117">
        <v>0</v>
      </c>
      <c r="AU309" s="117">
        <v>0</v>
      </c>
      <c r="AV309" s="117">
        <v>0</v>
      </c>
      <c r="AW309" s="117">
        <v>0</v>
      </c>
      <c r="AX309" s="117">
        <v>0</v>
      </c>
      <c r="AY309" s="117">
        <v>0</v>
      </c>
      <c r="AZ309" s="117">
        <v>0</v>
      </c>
      <c r="BA309" s="117">
        <v>0</v>
      </c>
    </row>
    <row r="310" spans="1:53" s="138" customFormat="1" outlineLevel="2" x14ac:dyDescent="0.25">
      <c r="A310" s="138" t="s">
        <v>974</v>
      </c>
      <c r="B310" s="139" t="s">
        <v>975</v>
      </c>
      <c r="C310" s="140" t="s">
        <v>976</v>
      </c>
      <c r="D310" s="141"/>
      <c r="E310" s="142"/>
      <c r="F310" s="143">
        <v>19698.75</v>
      </c>
      <c r="G310" s="143">
        <v>881.51</v>
      </c>
      <c r="H310" s="144">
        <f t="shared" si="74"/>
        <v>18817.240000000002</v>
      </c>
      <c r="I310" s="145" t="str">
        <f t="shared" si="75"/>
        <v>N.M.</v>
      </c>
      <c r="J310" s="146"/>
      <c r="K310" s="143">
        <v>41798.22</v>
      </c>
      <c r="L310" s="143">
        <v>1789.07</v>
      </c>
      <c r="M310" s="144">
        <f t="shared" si="76"/>
        <v>40009.15</v>
      </c>
      <c r="N310" s="145" t="str">
        <f t="shared" si="77"/>
        <v>N.M.</v>
      </c>
      <c r="O310" s="147"/>
      <c r="P310" s="146"/>
      <c r="Q310" s="143">
        <v>60296.03</v>
      </c>
      <c r="R310" s="143">
        <v>1336.3999999999999</v>
      </c>
      <c r="S310" s="144">
        <f t="shared" si="78"/>
        <v>58959.63</v>
      </c>
      <c r="T310" s="145" t="str">
        <f t="shared" si="79"/>
        <v>N.M.</v>
      </c>
      <c r="U310" s="146"/>
      <c r="V310" s="143">
        <v>224896.64000000001</v>
      </c>
      <c r="W310" s="143">
        <v>14083.98</v>
      </c>
      <c r="X310" s="144">
        <f t="shared" si="80"/>
        <v>210812.66</v>
      </c>
      <c r="Y310" s="145" t="str">
        <f t="shared" si="81"/>
        <v>N.M.</v>
      </c>
      <c r="Z310" s="148"/>
      <c r="AA310" s="149">
        <v>-452.67</v>
      </c>
      <c r="AB310" s="150"/>
      <c r="AC310" s="117">
        <v>907.56000000000006</v>
      </c>
      <c r="AD310" s="117">
        <v>881.51</v>
      </c>
      <c r="AE310" s="117">
        <v>882.52</v>
      </c>
      <c r="AF310" s="117">
        <v>19057.86</v>
      </c>
      <c r="AG310" s="117">
        <v>19076.53</v>
      </c>
      <c r="AH310" s="117">
        <v>16799.48</v>
      </c>
      <c r="AI310" s="117">
        <v>16830.16</v>
      </c>
      <c r="AJ310" s="117">
        <v>20575.689999999999</v>
      </c>
      <c r="AK310" s="117">
        <v>22370.9</v>
      </c>
      <c r="AL310" s="117">
        <v>25424.65</v>
      </c>
      <c r="AM310" s="117">
        <v>23582.82</v>
      </c>
      <c r="AN310" s="117">
        <v>18497.810000000001</v>
      </c>
      <c r="AO310" s="150"/>
      <c r="AP310" s="117">
        <v>22099.47</v>
      </c>
      <c r="AQ310" s="117">
        <v>19698.75</v>
      </c>
      <c r="AR310" s="117">
        <v>1698.6000000000001</v>
      </c>
      <c r="AS310" s="117">
        <v>0</v>
      </c>
      <c r="AT310" s="117">
        <v>0</v>
      </c>
      <c r="AU310" s="117">
        <v>0</v>
      </c>
      <c r="AV310" s="117">
        <v>0</v>
      </c>
      <c r="AW310" s="117">
        <v>0</v>
      </c>
      <c r="AX310" s="117">
        <v>0</v>
      </c>
      <c r="AY310" s="117">
        <v>0</v>
      </c>
      <c r="AZ310" s="117">
        <v>0</v>
      </c>
      <c r="BA310" s="117">
        <v>0</v>
      </c>
    </row>
    <row r="311" spans="1:53" s="138" customFormat="1" outlineLevel="2" x14ac:dyDescent="0.25">
      <c r="A311" s="138" t="s">
        <v>977</v>
      </c>
      <c r="B311" s="139" t="s">
        <v>978</v>
      </c>
      <c r="C311" s="140" t="s">
        <v>979</v>
      </c>
      <c r="D311" s="141"/>
      <c r="E311" s="142"/>
      <c r="F311" s="143">
        <v>18486.29</v>
      </c>
      <c r="G311" s="143">
        <v>17796.48</v>
      </c>
      <c r="H311" s="144">
        <f t="shared" si="74"/>
        <v>689.81000000000131</v>
      </c>
      <c r="I311" s="145">
        <f t="shared" si="75"/>
        <v>3.8761035890243538E-2</v>
      </c>
      <c r="J311" s="146"/>
      <c r="K311" s="143">
        <v>37276.18</v>
      </c>
      <c r="L311" s="143">
        <v>39200.870000000003</v>
      </c>
      <c r="M311" s="144">
        <f t="shared" si="76"/>
        <v>-1924.6900000000023</v>
      </c>
      <c r="N311" s="145">
        <f t="shared" si="77"/>
        <v>-4.909814501565915E-2</v>
      </c>
      <c r="O311" s="147"/>
      <c r="P311" s="146"/>
      <c r="Q311" s="143">
        <v>55357.270000000004</v>
      </c>
      <c r="R311" s="143">
        <v>59701.3</v>
      </c>
      <c r="S311" s="144">
        <f t="shared" si="78"/>
        <v>-4344.0299999999988</v>
      </c>
      <c r="T311" s="145">
        <f t="shared" si="79"/>
        <v>-7.2762737159827312E-2</v>
      </c>
      <c r="U311" s="146"/>
      <c r="V311" s="143">
        <v>217289.87</v>
      </c>
      <c r="W311" s="143">
        <v>256017.33</v>
      </c>
      <c r="X311" s="144">
        <f t="shared" si="80"/>
        <v>-38727.459999999992</v>
      </c>
      <c r="Y311" s="145">
        <f t="shared" si="81"/>
        <v>-0.15126890042951388</v>
      </c>
      <c r="Z311" s="148"/>
      <c r="AA311" s="149">
        <v>20500.43</v>
      </c>
      <c r="AB311" s="150"/>
      <c r="AC311" s="117">
        <v>21404.39</v>
      </c>
      <c r="AD311" s="117">
        <v>17796.48</v>
      </c>
      <c r="AE311" s="117">
        <v>18307.43</v>
      </c>
      <c r="AF311" s="117">
        <v>17506.23</v>
      </c>
      <c r="AG311" s="117">
        <v>17996.12</v>
      </c>
      <c r="AH311" s="117">
        <v>17967.060000000001</v>
      </c>
      <c r="AI311" s="117">
        <v>17937.22</v>
      </c>
      <c r="AJ311" s="117">
        <v>17903.89</v>
      </c>
      <c r="AK311" s="117">
        <v>18157.82</v>
      </c>
      <c r="AL311" s="117">
        <v>17840.62</v>
      </c>
      <c r="AM311" s="117">
        <v>18316.21</v>
      </c>
      <c r="AN311" s="117">
        <v>18081.09</v>
      </c>
      <c r="AO311" s="150"/>
      <c r="AP311" s="117">
        <v>18789.89</v>
      </c>
      <c r="AQ311" s="117">
        <v>18486.29</v>
      </c>
      <c r="AR311" s="117">
        <v>23375.53</v>
      </c>
      <c r="AS311" s="117">
        <v>0</v>
      </c>
      <c r="AT311" s="117">
        <v>0</v>
      </c>
      <c r="AU311" s="117">
        <v>0</v>
      </c>
      <c r="AV311" s="117">
        <v>0</v>
      </c>
      <c r="AW311" s="117">
        <v>0</v>
      </c>
      <c r="AX311" s="117">
        <v>0</v>
      </c>
      <c r="AY311" s="117">
        <v>0</v>
      </c>
      <c r="AZ311" s="117">
        <v>0</v>
      </c>
      <c r="BA311" s="117">
        <v>0</v>
      </c>
    </row>
    <row r="312" spans="1:53" s="138" customFormat="1" outlineLevel="2" x14ac:dyDescent="0.25">
      <c r="A312" s="138" t="s">
        <v>980</v>
      </c>
      <c r="B312" s="139" t="s">
        <v>981</v>
      </c>
      <c r="C312" s="140" t="s">
        <v>982</v>
      </c>
      <c r="D312" s="141"/>
      <c r="E312" s="142"/>
      <c r="F312" s="143">
        <v>85.68</v>
      </c>
      <c r="G312" s="143">
        <v>0</v>
      </c>
      <c r="H312" s="144">
        <f t="shared" si="74"/>
        <v>85.68</v>
      </c>
      <c r="I312" s="145" t="str">
        <f t="shared" si="75"/>
        <v>N.M.</v>
      </c>
      <c r="J312" s="146"/>
      <c r="K312" s="143">
        <v>116.65</v>
      </c>
      <c r="L312" s="143">
        <v>-6.94</v>
      </c>
      <c r="M312" s="144">
        <f t="shared" si="76"/>
        <v>123.59</v>
      </c>
      <c r="N312" s="145" t="str">
        <f t="shared" si="77"/>
        <v>N.M.</v>
      </c>
      <c r="O312" s="147"/>
      <c r="P312" s="146"/>
      <c r="Q312" s="143">
        <v>679.17</v>
      </c>
      <c r="R312" s="143">
        <v>96.43</v>
      </c>
      <c r="S312" s="144">
        <f t="shared" si="78"/>
        <v>582.74</v>
      </c>
      <c r="T312" s="145">
        <f t="shared" si="79"/>
        <v>6.0431401016281239</v>
      </c>
      <c r="U312" s="146"/>
      <c r="V312" s="143">
        <v>2109.87</v>
      </c>
      <c r="W312" s="143">
        <v>1309.3999999999999</v>
      </c>
      <c r="X312" s="144">
        <f t="shared" si="80"/>
        <v>800.47</v>
      </c>
      <c r="Y312" s="145">
        <f t="shared" si="81"/>
        <v>0.61132579807545451</v>
      </c>
      <c r="Z312" s="148"/>
      <c r="AA312" s="149">
        <v>103.37</v>
      </c>
      <c r="AB312" s="150"/>
      <c r="AC312" s="117">
        <v>-6.94</v>
      </c>
      <c r="AD312" s="117">
        <v>0</v>
      </c>
      <c r="AE312" s="117">
        <v>34.86</v>
      </c>
      <c r="AF312" s="117">
        <v>176.74</v>
      </c>
      <c r="AG312" s="117">
        <v>19.440000000000001</v>
      </c>
      <c r="AH312" s="117">
        <v>615.22</v>
      </c>
      <c r="AI312" s="117">
        <v>59.14</v>
      </c>
      <c r="AJ312" s="117">
        <v>254.68</v>
      </c>
      <c r="AK312" s="117">
        <v>177.97</v>
      </c>
      <c r="AL312" s="117">
        <v>1.58</v>
      </c>
      <c r="AM312" s="117">
        <v>91.070000000000007</v>
      </c>
      <c r="AN312" s="117">
        <v>562.52</v>
      </c>
      <c r="AO312" s="150"/>
      <c r="AP312" s="117">
        <v>30.970000000000002</v>
      </c>
      <c r="AQ312" s="117">
        <v>85.68</v>
      </c>
      <c r="AR312" s="117">
        <v>576.98</v>
      </c>
      <c r="AS312" s="117">
        <v>0</v>
      </c>
      <c r="AT312" s="117">
        <v>0</v>
      </c>
      <c r="AU312" s="117">
        <v>0</v>
      </c>
      <c r="AV312" s="117">
        <v>0</v>
      </c>
      <c r="AW312" s="117">
        <v>0</v>
      </c>
      <c r="AX312" s="117">
        <v>0</v>
      </c>
      <c r="AY312" s="117">
        <v>0</v>
      </c>
      <c r="AZ312" s="117">
        <v>0</v>
      </c>
      <c r="BA312" s="117">
        <v>0</v>
      </c>
    </row>
    <row r="313" spans="1:53" s="138" customFormat="1" outlineLevel="2" x14ac:dyDescent="0.25">
      <c r="A313" s="138" t="s">
        <v>983</v>
      </c>
      <c r="B313" s="139" t="s">
        <v>984</v>
      </c>
      <c r="C313" s="140" t="s">
        <v>985</v>
      </c>
      <c r="D313" s="141"/>
      <c r="E313" s="142"/>
      <c r="F313" s="143">
        <v>2490.38</v>
      </c>
      <c r="G313" s="143">
        <v>26.41</v>
      </c>
      <c r="H313" s="144">
        <f t="shared" si="74"/>
        <v>2463.9700000000003</v>
      </c>
      <c r="I313" s="145" t="str">
        <f t="shared" si="75"/>
        <v>N.M.</v>
      </c>
      <c r="J313" s="146"/>
      <c r="K313" s="143">
        <v>4909.09</v>
      </c>
      <c r="L313" s="143">
        <v>54.800000000000004</v>
      </c>
      <c r="M313" s="144">
        <f t="shared" si="76"/>
        <v>4854.29</v>
      </c>
      <c r="N313" s="145" t="str">
        <f t="shared" si="77"/>
        <v>N.M.</v>
      </c>
      <c r="O313" s="147"/>
      <c r="P313" s="146"/>
      <c r="Q313" s="143">
        <v>7350.97</v>
      </c>
      <c r="R313" s="143">
        <v>79.790000000000006</v>
      </c>
      <c r="S313" s="144">
        <f t="shared" si="78"/>
        <v>7271.18</v>
      </c>
      <c r="T313" s="145" t="str">
        <f t="shared" si="79"/>
        <v>N.M.</v>
      </c>
      <c r="U313" s="146"/>
      <c r="V313" s="143">
        <v>13006.35</v>
      </c>
      <c r="W313" s="143">
        <v>2611.2400000000002</v>
      </c>
      <c r="X313" s="144">
        <f t="shared" si="80"/>
        <v>10395.11</v>
      </c>
      <c r="Y313" s="145">
        <f t="shared" si="81"/>
        <v>3.9809094529801934</v>
      </c>
      <c r="Z313" s="148"/>
      <c r="AA313" s="149">
        <v>24.990000000000002</v>
      </c>
      <c r="AB313" s="150"/>
      <c r="AC313" s="117">
        <v>28.39</v>
      </c>
      <c r="AD313" s="117">
        <v>26.41</v>
      </c>
      <c r="AE313" s="117">
        <v>21.04</v>
      </c>
      <c r="AF313" s="117">
        <v>158.17000000000002</v>
      </c>
      <c r="AG313" s="117">
        <v>535.69000000000005</v>
      </c>
      <c r="AH313" s="117">
        <v>36.380000000000003</v>
      </c>
      <c r="AI313" s="117">
        <v>142.80000000000001</v>
      </c>
      <c r="AJ313" s="117">
        <v>575.95000000000005</v>
      </c>
      <c r="AK313" s="117">
        <v>485.66</v>
      </c>
      <c r="AL313" s="117">
        <v>148.69</v>
      </c>
      <c r="AM313" s="117">
        <v>3551</v>
      </c>
      <c r="AN313" s="117">
        <v>2441.88</v>
      </c>
      <c r="AO313" s="150"/>
      <c r="AP313" s="117">
        <v>2418.71</v>
      </c>
      <c r="AQ313" s="117">
        <v>2490.38</v>
      </c>
      <c r="AR313" s="117">
        <v>0</v>
      </c>
      <c r="AS313" s="117">
        <v>0</v>
      </c>
      <c r="AT313" s="117">
        <v>0</v>
      </c>
      <c r="AU313" s="117">
        <v>0</v>
      </c>
      <c r="AV313" s="117">
        <v>0</v>
      </c>
      <c r="AW313" s="117">
        <v>0</v>
      </c>
      <c r="AX313" s="117">
        <v>0</v>
      </c>
      <c r="AY313" s="117">
        <v>0</v>
      </c>
      <c r="AZ313" s="117">
        <v>0</v>
      </c>
      <c r="BA313" s="117">
        <v>0</v>
      </c>
    </row>
    <row r="314" spans="1:53" s="138" customFormat="1" outlineLevel="2" x14ac:dyDescent="0.25">
      <c r="A314" s="138" t="s">
        <v>986</v>
      </c>
      <c r="B314" s="139" t="s">
        <v>987</v>
      </c>
      <c r="C314" s="140" t="s">
        <v>988</v>
      </c>
      <c r="D314" s="141"/>
      <c r="E314" s="142"/>
      <c r="F314" s="143">
        <v>33.9</v>
      </c>
      <c r="G314" s="143">
        <v>180.34</v>
      </c>
      <c r="H314" s="144">
        <f t="shared" si="74"/>
        <v>-146.44</v>
      </c>
      <c r="I314" s="145">
        <f t="shared" si="75"/>
        <v>-0.81202173671952971</v>
      </c>
      <c r="J314" s="146"/>
      <c r="K314" s="143">
        <v>1894.3400000000001</v>
      </c>
      <c r="L314" s="143">
        <v>762.34</v>
      </c>
      <c r="M314" s="144">
        <f t="shared" si="76"/>
        <v>1132</v>
      </c>
      <c r="N314" s="145">
        <f t="shared" si="77"/>
        <v>1.4849017498753836</v>
      </c>
      <c r="O314" s="147"/>
      <c r="P314" s="146"/>
      <c r="Q314" s="143">
        <v>2067.61</v>
      </c>
      <c r="R314" s="143">
        <v>2570.59</v>
      </c>
      <c r="S314" s="144">
        <f t="shared" si="78"/>
        <v>-502.98</v>
      </c>
      <c r="T314" s="145">
        <f t="shared" si="79"/>
        <v>-0.19566714256260234</v>
      </c>
      <c r="U314" s="146"/>
      <c r="V314" s="143">
        <v>7877.68</v>
      </c>
      <c r="W314" s="143">
        <v>13231.050000000001</v>
      </c>
      <c r="X314" s="144">
        <f t="shared" si="80"/>
        <v>-5353.3700000000008</v>
      </c>
      <c r="Y314" s="145">
        <f t="shared" si="81"/>
        <v>-0.40460658829042295</v>
      </c>
      <c r="Z314" s="148"/>
      <c r="AA314" s="149">
        <v>1808.25</v>
      </c>
      <c r="AB314" s="150"/>
      <c r="AC314" s="117">
        <v>582</v>
      </c>
      <c r="AD314" s="117">
        <v>180.34</v>
      </c>
      <c r="AE314" s="117">
        <v>102.4</v>
      </c>
      <c r="AF314" s="117">
        <v>22.51</v>
      </c>
      <c r="AG314" s="117">
        <v>1340.99</v>
      </c>
      <c r="AH314" s="117">
        <v>120.14</v>
      </c>
      <c r="AI314" s="117">
        <v>-34.28</v>
      </c>
      <c r="AJ314" s="117">
        <v>2780.77</v>
      </c>
      <c r="AK314" s="117">
        <v>1138.17</v>
      </c>
      <c r="AL314" s="117">
        <v>416.84000000000003</v>
      </c>
      <c r="AM314" s="117">
        <v>-77.47</v>
      </c>
      <c r="AN314" s="117">
        <v>173.27</v>
      </c>
      <c r="AO314" s="150"/>
      <c r="AP314" s="117">
        <v>1860.44</v>
      </c>
      <c r="AQ314" s="117">
        <v>33.9</v>
      </c>
      <c r="AR314" s="117">
        <v>0</v>
      </c>
      <c r="AS314" s="117">
        <v>0</v>
      </c>
      <c r="AT314" s="117">
        <v>0</v>
      </c>
      <c r="AU314" s="117">
        <v>0</v>
      </c>
      <c r="AV314" s="117">
        <v>0</v>
      </c>
      <c r="AW314" s="117">
        <v>0</v>
      </c>
      <c r="AX314" s="117">
        <v>0</v>
      </c>
      <c r="AY314" s="117">
        <v>0</v>
      </c>
      <c r="AZ314" s="117">
        <v>0</v>
      </c>
      <c r="BA314" s="117">
        <v>0</v>
      </c>
    </row>
    <row r="315" spans="1:53" s="138" customFormat="1" outlineLevel="2" x14ac:dyDescent="0.25">
      <c r="A315" s="138" t="s">
        <v>989</v>
      </c>
      <c r="B315" s="139" t="s">
        <v>990</v>
      </c>
      <c r="C315" s="140" t="s">
        <v>991</v>
      </c>
      <c r="D315" s="141"/>
      <c r="E315" s="142"/>
      <c r="F315" s="143">
        <v>-186086.21</v>
      </c>
      <c r="G315" s="143">
        <v>-211557.85</v>
      </c>
      <c r="H315" s="144">
        <f t="shared" si="74"/>
        <v>25471.640000000014</v>
      </c>
      <c r="I315" s="145">
        <f t="shared" si="75"/>
        <v>0.12040035385120436</v>
      </c>
      <c r="J315" s="146"/>
      <c r="K315" s="143">
        <v>-379283.91000000003</v>
      </c>
      <c r="L315" s="143">
        <v>-423440.09</v>
      </c>
      <c r="M315" s="144">
        <f t="shared" si="76"/>
        <v>44156.179999999993</v>
      </c>
      <c r="N315" s="145">
        <f t="shared" si="77"/>
        <v>0.10427963965339226</v>
      </c>
      <c r="O315" s="147"/>
      <c r="P315" s="146"/>
      <c r="Q315" s="143">
        <v>-591981.67000000004</v>
      </c>
      <c r="R315" s="143">
        <v>-720131.56</v>
      </c>
      <c r="S315" s="144">
        <f t="shared" si="78"/>
        <v>128149.89000000001</v>
      </c>
      <c r="T315" s="145">
        <f t="shared" si="79"/>
        <v>0.17795344228490695</v>
      </c>
      <c r="U315" s="146"/>
      <c r="V315" s="143">
        <v>-2494397.17</v>
      </c>
      <c r="W315" s="143">
        <v>-3363844.4699999997</v>
      </c>
      <c r="X315" s="144">
        <f t="shared" si="80"/>
        <v>869447.29999999981</v>
      </c>
      <c r="Y315" s="145">
        <f t="shared" si="81"/>
        <v>0.25846834113587891</v>
      </c>
      <c r="Z315" s="148"/>
      <c r="AA315" s="149">
        <v>-296691.47000000003</v>
      </c>
      <c r="AB315" s="150"/>
      <c r="AC315" s="117">
        <v>-211882.23999999999</v>
      </c>
      <c r="AD315" s="117">
        <v>-211557.85</v>
      </c>
      <c r="AE315" s="117">
        <v>-210715.38</v>
      </c>
      <c r="AF315" s="117">
        <v>-210821.43</v>
      </c>
      <c r="AG315" s="117">
        <v>-210675.92</v>
      </c>
      <c r="AH315" s="117">
        <v>-209522.67</v>
      </c>
      <c r="AI315" s="117">
        <v>-211736.94</v>
      </c>
      <c r="AJ315" s="117">
        <v>-225797.08000000002</v>
      </c>
      <c r="AK315" s="117">
        <v>-197934.57</v>
      </c>
      <c r="AL315" s="117">
        <v>-212984.29</v>
      </c>
      <c r="AM315" s="117">
        <v>-212227.22</v>
      </c>
      <c r="AN315" s="117">
        <v>-212697.76</v>
      </c>
      <c r="AO315" s="150"/>
      <c r="AP315" s="117">
        <v>-193197.7</v>
      </c>
      <c r="AQ315" s="117">
        <v>-186086.21</v>
      </c>
      <c r="AR315" s="117">
        <v>-21653.7</v>
      </c>
      <c r="AS315" s="117">
        <v>0</v>
      </c>
      <c r="AT315" s="117">
        <v>0</v>
      </c>
      <c r="AU315" s="117">
        <v>0</v>
      </c>
      <c r="AV315" s="117">
        <v>0</v>
      </c>
      <c r="AW315" s="117">
        <v>0</v>
      </c>
      <c r="AX315" s="117">
        <v>0</v>
      </c>
      <c r="AY315" s="117">
        <v>0</v>
      </c>
      <c r="AZ315" s="117">
        <v>0</v>
      </c>
      <c r="BA315" s="117">
        <v>0</v>
      </c>
    </row>
    <row r="316" spans="1:53" s="138" customFormat="1" outlineLevel="2" x14ac:dyDescent="0.25">
      <c r="A316" s="138" t="s">
        <v>992</v>
      </c>
      <c r="B316" s="139" t="s">
        <v>993</v>
      </c>
      <c r="C316" s="140" t="s">
        <v>994</v>
      </c>
      <c r="D316" s="141"/>
      <c r="E316" s="142"/>
      <c r="F316" s="143">
        <v>127205.33</v>
      </c>
      <c r="G316" s="143">
        <v>123835.05</v>
      </c>
      <c r="H316" s="144">
        <f t="shared" si="74"/>
        <v>3370.2799999999988</v>
      </c>
      <c r="I316" s="145">
        <f t="shared" si="75"/>
        <v>2.721588112573943E-2</v>
      </c>
      <c r="J316" s="146"/>
      <c r="K316" s="143">
        <v>255096.4</v>
      </c>
      <c r="L316" s="143">
        <v>253215.37</v>
      </c>
      <c r="M316" s="144">
        <f t="shared" si="76"/>
        <v>1881.0299999999988</v>
      </c>
      <c r="N316" s="145">
        <f t="shared" si="77"/>
        <v>7.4285774990672914E-3</v>
      </c>
      <c r="O316" s="147"/>
      <c r="P316" s="146"/>
      <c r="Q316" s="143">
        <v>457802.38</v>
      </c>
      <c r="R316" s="143">
        <v>366343.29</v>
      </c>
      <c r="S316" s="144">
        <f t="shared" si="78"/>
        <v>91459.090000000026</v>
      </c>
      <c r="T316" s="145">
        <f t="shared" si="79"/>
        <v>0.24965406081274213</v>
      </c>
      <c r="U316" s="146"/>
      <c r="V316" s="143">
        <v>1769278.247</v>
      </c>
      <c r="W316" s="143">
        <v>1844000.15</v>
      </c>
      <c r="X316" s="144">
        <f t="shared" si="80"/>
        <v>-74721.902999999933</v>
      </c>
      <c r="Y316" s="145">
        <f t="shared" si="81"/>
        <v>-4.0521636074704187E-2</v>
      </c>
      <c r="Z316" s="148"/>
      <c r="AA316" s="149">
        <v>113127.92</v>
      </c>
      <c r="AB316" s="150"/>
      <c r="AC316" s="117">
        <v>129380.32</v>
      </c>
      <c r="AD316" s="117">
        <v>123835.05</v>
      </c>
      <c r="AE316" s="117">
        <v>119114.947</v>
      </c>
      <c r="AF316" s="117">
        <v>190163.47</v>
      </c>
      <c r="AG316" s="117">
        <v>132434.84</v>
      </c>
      <c r="AH316" s="117">
        <v>135126.32</v>
      </c>
      <c r="AI316" s="117">
        <v>141795.11000000002</v>
      </c>
      <c r="AJ316" s="117">
        <v>128403.51000000001</v>
      </c>
      <c r="AK316" s="117">
        <v>197668.92</v>
      </c>
      <c r="AL316" s="117">
        <v>139725.51999999999</v>
      </c>
      <c r="AM316" s="117">
        <v>127043.23</v>
      </c>
      <c r="AN316" s="117">
        <v>202705.98</v>
      </c>
      <c r="AO316" s="150"/>
      <c r="AP316" s="117">
        <v>127891.07</v>
      </c>
      <c r="AQ316" s="117">
        <v>127205.33</v>
      </c>
      <c r="AR316" s="117">
        <v>336687.65</v>
      </c>
      <c r="AS316" s="117">
        <v>0</v>
      </c>
      <c r="AT316" s="117">
        <v>0</v>
      </c>
      <c r="AU316" s="117">
        <v>0</v>
      </c>
      <c r="AV316" s="117">
        <v>0</v>
      </c>
      <c r="AW316" s="117">
        <v>0</v>
      </c>
      <c r="AX316" s="117">
        <v>0</v>
      </c>
      <c r="AY316" s="117">
        <v>0</v>
      </c>
      <c r="AZ316" s="117">
        <v>0</v>
      </c>
      <c r="BA316" s="117">
        <v>0</v>
      </c>
    </row>
    <row r="317" spans="1:53" s="138" customFormat="1" outlineLevel="2" x14ac:dyDescent="0.25">
      <c r="A317" s="138" t="s">
        <v>995</v>
      </c>
      <c r="B317" s="139" t="s">
        <v>996</v>
      </c>
      <c r="C317" s="140" t="s">
        <v>997</v>
      </c>
      <c r="D317" s="141"/>
      <c r="E317" s="142"/>
      <c r="F317" s="143">
        <v>0</v>
      </c>
      <c r="G317" s="143">
        <v>0</v>
      </c>
      <c r="H317" s="144">
        <f t="shared" si="74"/>
        <v>0</v>
      </c>
      <c r="I317" s="145">
        <f t="shared" si="75"/>
        <v>0</v>
      </c>
      <c r="J317" s="146"/>
      <c r="K317" s="143">
        <v>0</v>
      </c>
      <c r="L317" s="143">
        <v>0</v>
      </c>
      <c r="M317" s="144">
        <f t="shared" si="76"/>
        <v>0</v>
      </c>
      <c r="N317" s="145">
        <f t="shared" si="77"/>
        <v>0</v>
      </c>
      <c r="O317" s="147"/>
      <c r="P317" s="146"/>
      <c r="Q317" s="143">
        <v>27323.170000000002</v>
      </c>
      <c r="R317" s="143">
        <v>-3807.15</v>
      </c>
      <c r="S317" s="144">
        <f t="shared" si="78"/>
        <v>31130.320000000003</v>
      </c>
      <c r="T317" s="145">
        <f t="shared" si="79"/>
        <v>8.1768041710991159</v>
      </c>
      <c r="U317" s="146"/>
      <c r="V317" s="143">
        <v>27323.170000000002</v>
      </c>
      <c r="W317" s="143">
        <v>-3559</v>
      </c>
      <c r="X317" s="144">
        <f t="shared" si="80"/>
        <v>30882.170000000002</v>
      </c>
      <c r="Y317" s="145">
        <f t="shared" si="81"/>
        <v>8.6772042708626032</v>
      </c>
      <c r="Z317" s="148"/>
      <c r="AA317" s="149">
        <v>-3807.15</v>
      </c>
      <c r="AB317" s="150"/>
      <c r="AC317" s="117">
        <v>0</v>
      </c>
      <c r="AD317" s="117">
        <v>0</v>
      </c>
      <c r="AE317" s="117">
        <v>0</v>
      </c>
      <c r="AF317" s="117">
        <v>0</v>
      </c>
      <c r="AG317" s="117">
        <v>0</v>
      </c>
      <c r="AH317" s="117">
        <v>0</v>
      </c>
      <c r="AI317" s="117">
        <v>0</v>
      </c>
      <c r="AJ317" s="117">
        <v>0</v>
      </c>
      <c r="AK317" s="117">
        <v>0</v>
      </c>
      <c r="AL317" s="117">
        <v>0</v>
      </c>
      <c r="AM317" s="117">
        <v>0</v>
      </c>
      <c r="AN317" s="117">
        <v>27323.170000000002</v>
      </c>
      <c r="AO317" s="150"/>
      <c r="AP317" s="117">
        <v>0</v>
      </c>
      <c r="AQ317" s="117">
        <v>0</v>
      </c>
      <c r="AR317" s="117">
        <v>0</v>
      </c>
      <c r="AS317" s="117">
        <v>0</v>
      </c>
      <c r="AT317" s="117">
        <v>0</v>
      </c>
      <c r="AU317" s="117">
        <v>0</v>
      </c>
      <c r="AV317" s="117">
        <v>0</v>
      </c>
      <c r="AW317" s="117">
        <v>0</v>
      </c>
      <c r="AX317" s="117">
        <v>0</v>
      </c>
      <c r="AY317" s="117">
        <v>0</v>
      </c>
      <c r="AZ317" s="117">
        <v>0</v>
      </c>
      <c r="BA317" s="117">
        <v>0</v>
      </c>
    </row>
    <row r="318" spans="1:53" s="138" customFormat="1" outlineLevel="2" x14ac:dyDescent="0.25">
      <c r="A318" s="138" t="s">
        <v>998</v>
      </c>
      <c r="B318" s="139" t="s">
        <v>999</v>
      </c>
      <c r="C318" s="140" t="s">
        <v>1000</v>
      </c>
      <c r="D318" s="141"/>
      <c r="E318" s="142"/>
      <c r="F318" s="143">
        <v>432.83</v>
      </c>
      <c r="G318" s="143">
        <v>305.75</v>
      </c>
      <c r="H318" s="144">
        <f t="shared" si="74"/>
        <v>127.07999999999998</v>
      </c>
      <c r="I318" s="145">
        <f t="shared" si="75"/>
        <v>0.41563368765331149</v>
      </c>
      <c r="J318" s="146"/>
      <c r="K318" s="143">
        <v>865.66</v>
      </c>
      <c r="L318" s="143">
        <v>611.5</v>
      </c>
      <c r="M318" s="144">
        <f t="shared" si="76"/>
        <v>254.15999999999997</v>
      </c>
      <c r="N318" s="145">
        <f t="shared" si="77"/>
        <v>0.41563368765331149</v>
      </c>
      <c r="O318" s="147"/>
      <c r="P318" s="146"/>
      <c r="Q318" s="143">
        <v>1248.08</v>
      </c>
      <c r="R318" s="143">
        <v>885.17000000000007</v>
      </c>
      <c r="S318" s="144">
        <f t="shared" si="78"/>
        <v>362.90999999999985</v>
      </c>
      <c r="T318" s="145">
        <f t="shared" si="79"/>
        <v>0.40998904165301558</v>
      </c>
      <c r="U318" s="146"/>
      <c r="V318" s="143">
        <v>4843.1900000000005</v>
      </c>
      <c r="W318" s="143">
        <v>3604.69</v>
      </c>
      <c r="X318" s="144">
        <f t="shared" si="80"/>
        <v>1238.5000000000005</v>
      </c>
      <c r="Y318" s="145">
        <f t="shared" si="81"/>
        <v>0.34358016916850004</v>
      </c>
      <c r="Z318" s="148"/>
      <c r="AA318" s="149">
        <v>273.67</v>
      </c>
      <c r="AB318" s="150"/>
      <c r="AC318" s="117">
        <v>305.75</v>
      </c>
      <c r="AD318" s="117">
        <v>305.75</v>
      </c>
      <c r="AE318" s="117">
        <v>535.75</v>
      </c>
      <c r="AF318" s="117">
        <v>382.42</v>
      </c>
      <c r="AG318" s="117">
        <v>382.42</v>
      </c>
      <c r="AH318" s="117">
        <v>382.42</v>
      </c>
      <c r="AI318" s="117">
        <v>382.42</v>
      </c>
      <c r="AJ318" s="117">
        <v>382.42</v>
      </c>
      <c r="AK318" s="117">
        <v>382.42</v>
      </c>
      <c r="AL318" s="117">
        <v>382.42</v>
      </c>
      <c r="AM318" s="117">
        <v>382.42</v>
      </c>
      <c r="AN318" s="117">
        <v>382.42</v>
      </c>
      <c r="AO318" s="150"/>
      <c r="AP318" s="117">
        <v>432.83</v>
      </c>
      <c r="AQ318" s="117">
        <v>432.83</v>
      </c>
      <c r="AR318" s="117">
        <v>0</v>
      </c>
      <c r="AS318" s="117">
        <v>0</v>
      </c>
      <c r="AT318" s="117">
        <v>0</v>
      </c>
      <c r="AU318" s="117">
        <v>0</v>
      </c>
      <c r="AV318" s="117">
        <v>0</v>
      </c>
      <c r="AW318" s="117">
        <v>0</v>
      </c>
      <c r="AX318" s="117">
        <v>0</v>
      </c>
      <c r="AY318" s="117">
        <v>0</v>
      </c>
      <c r="AZ318" s="117">
        <v>0</v>
      </c>
      <c r="BA318" s="117">
        <v>0</v>
      </c>
    </row>
    <row r="319" spans="1:53" s="138" customFormat="1" outlineLevel="2" x14ac:dyDescent="0.25">
      <c r="A319" s="138" t="s">
        <v>1001</v>
      </c>
      <c r="B319" s="139" t="s">
        <v>1002</v>
      </c>
      <c r="C319" s="140" t="s">
        <v>1003</v>
      </c>
      <c r="D319" s="141"/>
      <c r="E319" s="142"/>
      <c r="F319" s="143">
        <v>385.75</v>
      </c>
      <c r="G319" s="143">
        <v>7119.81</v>
      </c>
      <c r="H319" s="144">
        <f t="shared" si="74"/>
        <v>-6734.06</v>
      </c>
      <c r="I319" s="145">
        <f t="shared" si="75"/>
        <v>-0.94582018340377061</v>
      </c>
      <c r="J319" s="146"/>
      <c r="K319" s="143">
        <v>385.75</v>
      </c>
      <c r="L319" s="143">
        <v>14186.84</v>
      </c>
      <c r="M319" s="144">
        <f t="shared" si="76"/>
        <v>-13801.09</v>
      </c>
      <c r="N319" s="145">
        <f t="shared" si="77"/>
        <v>-0.97280930778101393</v>
      </c>
      <c r="O319" s="147"/>
      <c r="P319" s="146"/>
      <c r="Q319" s="143">
        <v>798.7</v>
      </c>
      <c r="R319" s="143">
        <v>21263.66</v>
      </c>
      <c r="S319" s="144">
        <f t="shared" si="78"/>
        <v>-20464.96</v>
      </c>
      <c r="T319" s="145">
        <f t="shared" si="79"/>
        <v>-0.9624382632152696</v>
      </c>
      <c r="U319" s="146"/>
      <c r="V319" s="143">
        <v>-331513.11</v>
      </c>
      <c r="W319" s="143">
        <v>122211.56999999999</v>
      </c>
      <c r="X319" s="144">
        <f t="shared" si="80"/>
        <v>-453724.68</v>
      </c>
      <c r="Y319" s="145">
        <f t="shared" si="81"/>
        <v>-3.7126164077591017</v>
      </c>
      <c r="Z319" s="148"/>
      <c r="AA319" s="149">
        <v>7076.82</v>
      </c>
      <c r="AB319" s="150"/>
      <c r="AC319" s="117">
        <v>7067.03</v>
      </c>
      <c r="AD319" s="117">
        <v>7119.81</v>
      </c>
      <c r="AE319" s="117">
        <v>-336905.14</v>
      </c>
      <c r="AF319" s="117">
        <v>622.16999999999996</v>
      </c>
      <c r="AG319" s="117">
        <v>718.54</v>
      </c>
      <c r="AH319" s="117">
        <v>994.98</v>
      </c>
      <c r="AI319" s="117">
        <v>537.84</v>
      </c>
      <c r="AJ319" s="117">
        <v>-1721.75</v>
      </c>
      <c r="AK319" s="117">
        <v>2689.21</v>
      </c>
      <c r="AL319" s="117">
        <v>338.14</v>
      </c>
      <c r="AM319" s="117">
        <v>414.2</v>
      </c>
      <c r="AN319" s="117">
        <v>412.95</v>
      </c>
      <c r="AO319" s="150"/>
      <c r="AP319" s="117">
        <v>0</v>
      </c>
      <c r="AQ319" s="117">
        <v>385.75</v>
      </c>
      <c r="AR319" s="117">
        <v>-2491.3200000000002</v>
      </c>
      <c r="AS319" s="117">
        <v>0</v>
      </c>
      <c r="AT319" s="117">
        <v>0</v>
      </c>
      <c r="AU319" s="117">
        <v>0</v>
      </c>
      <c r="AV319" s="117">
        <v>0</v>
      </c>
      <c r="AW319" s="117">
        <v>0</v>
      </c>
      <c r="AX319" s="117">
        <v>0</v>
      </c>
      <c r="AY319" s="117">
        <v>0</v>
      </c>
      <c r="AZ319" s="117">
        <v>0</v>
      </c>
      <c r="BA319" s="117">
        <v>0</v>
      </c>
    </row>
    <row r="320" spans="1:53" s="138" customFormat="1" outlineLevel="2" x14ac:dyDescent="0.25">
      <c r="A320" s="138" t="s">
        <v>1004</v>
      </c>
      <c r="B320" s="139" t="s">
        <v>1005</v>
      </c>
      <c r="C320" s="140" t="s">
        <v>1006</v>
      </c>
      <c r="D320" s="141"/>
      <c r="E320" s="142"/>
      <c r="F320" s="143">
        <v>-87268.28</v>
      </c>
      <c r="G320" s="143">
        <v>-74563.39</v>
      </c>
      <c r="H320" s="144">
        <f t="shared" si="74"/>
        <v>-12704.89</v>
      </c>
      <c r="I320" s="145">
        <f t="shared" si="75"/>
        <v>-0.1703904556914593</v>
      </c>
      <c r="J320" s="146"/>
      <c r="K320" s="143">
        <v>-152451.23000000001</v>
      </c>
      <c r="L320" s="143">
        <v>-138708.34</v>
      </c>
      <c r="M320" s="144">
        <f t="shared" si="76"/>
        <v>-13742.890000000014</v>
      </c>
      <c r="N320" s="145">
        <f t="shared" si="77"/>
        <v>-9.9077604129643643E-2</v>
      </c>
      <c r="O320" s="147"/>
      <c r="P320" s="146"/>
      <c r="Q320" s="143">
        <v>-212915.67</v>
      </c>
      <c r="R320" s="143">
        <v>-222850.26</v>
      </c>
      <c r="S320" s="144">
        <f t="shared" si="78"/>
        <v>9934.5899999999965</v>
      </c>
      <c r="T320" s="145">
        <f t="shared" si="79"/>
        <v>4.4579665287354818E-2</v>
      </c>
      <c r="U320" s="146"/>
      <c r="V320" s="143">
        <v>-936545.28000000003</v>
      </c>
      <c r="W320" s="143">
        <v>-1191493.8400000001</v>
      </c>
      <c r="X320" s="144">
        <f t="shared" si="80"/>
        <v>254948.56000000006</v>
      </c>
      <c r="Y320" s="145">
        <f t="shared" si="81"/>
        <v>0.2139738800496023</v>
      </c>
      <c r="Z320" s="148"/>
      <c r="AA320" s="149">
        <v>-84141.92</v>
      </c>
      <c r="AB320" s="150"/>
      <c r="AC320" s="117">
        <v>-64144.950000000004</v>
      </c>
      <c r="AD320" s="117">
        <v>-74563.39</v>
      </c>
      <c r="AE320" s="117">
        <v>-78679.400000000009</v>
      </c>
      <c r="AF320" s="117">
        <v>-133124.69</v>
      </c>
      <c r="AG320" s="117">
        <v>-91822.24</v>
      </c>
      <c r="AH320" s="117">
        <v>-85835.69</v>
      </c>
      <c r="AI320" s="117">
        <v>-49826.950000000004</v>
      </c>
      <c r="AJ320" s="117">
        <v>-59719.81</v>
      </c>
      <c r="AK320" s="117">
        <v>-92030.540000000008</v>
      </c>
      <c r="AL320" s="117">
        <v>-64028.959999999999</v>
      </c>
      <c r="AM320" s="117">
        <v>-68561.33</v>
      </c>
      <c r="AN320" s="117">
        <v>-60464.44</v>
      </c>
      <c r="AO320" s="150"/>
      <c r="AP320" s="117">
        <v>-65182.950000000004</v>
      </c>
      <c r="AQ320" s="117">
        <v>-87268.28</v>
      </c>
      <c r="AR320" s="117">
        <v>-46327.62</v>
      </c>
      <c r="AS320" s="117">
        <v>0</v>
      </c>
      <c r="AT320" s="117">
        <v>0</v>
      </c>
      <c r="AU320" s="117">
        <v>0</v>
      </c>
      <c r="AV320" s="117">
        <v>0</v>
      </c>
      <c r="AW320" s="117">
        <v>0</v>
      </c>
      <c r="AX320" s="117">
        <v>0</v>
      </c>
      <c r="AY320" s="117">
        <v>0</v>
      </c>
      <c r="AZ320" s="117">
        <v>0</v>
      </c>
      <c r="BA320" s="117">
        <v>0</v>
      </c>
    </row>
    <row r="321" spans="1:53" s="138" customFormat="1" outlineLevel="2" x14ac:dyDescent="0.25">
      <c r="A321" s="138" t="s">
        <v>1007</v>
      </c>
      <c r="B321" s="139" t="s">
        <v>1008</v>
      </c>
      <c r="C321" s="140" t="s">
        <v>1009</v>
      </c>
      <c r="D321" s="141"/>
      <c r="E321" s="142"/>
      <c r="F321" s="143">
        <v>-174778.2</v>
      </c>
      <c r="G321" s="143">
        <v>-143250.4</v>
      </c>
      <c r="H321" s="144">
        <f t="shared" si="74"/>
        <v>-31527.800000000017</v>
      </c>
      <c r="I321" s="145">
        <f t="shared" si="75"/>
        <v>-0.22008873971730633</v>
      </c>
      <c r="J321" s="146"/>
      <c r="K321" s="143">
        <v>-304314.95</v>
      </c>
      <c r="L321" s="143">
        <v>-267497.52</v>
      </c>
      <c r="M321" s="144">
        <f t="shared" si="76"/>
        <v>-36817.429999999993</v>
      </c>
      <c r="N321" s="145">
        <f t="shared" si="77"/>
        <v>-0.13763652836856202</v>
      </c>
      <c r="O321" s="147"/>
      <c r="P321" s="146"/>
      <c r="Q321" s="143">
        <v>-456998.32</v>
      </c>
      <c r="R321" s="143">
        <v>-416305.56000000006</v>
      </c>
      <c r="S321" s="144">
        <f t="shared" si="78"/>
        <v>-40692.759999999951</v>
      </c>
      <c r="T321" s="145">
        <f t="shared" si="79"/>
        <v>-9.7747337316369129E-2</v>
      </c>
      <c r="U321" s="146"/>
      <c r="V321" s="143">
        <v>-2021150.09</v>
      </c>
      <c r="W321" s="143">
        <v>-2017753.8</v>
      </c>
      <c r="X321" s="144">
        <f t="shared" si="80"/>
        <v>-3396.2900000000373</v>
      </c>
      <c r="Y321" s="145">
        <f t="shared" si="81"/>
        <v>-1.6832033719872252E-3</v>
      </c>
      <c r="Z321" s="148"/>
      <c r="AA321" s="149">
        <v>-148808.04</v>
      </c>
      <c r="AB321" s="150"/>
      <c r="AC321" s="117">
        <v>-124247.12</v>
      </c>
      <c r="AD321" s="117">
        <v>-143250.4</v>
      </c>
      <c r="AE321" s="117">
        <v>-151253</v>
      </c>
      <c r="AF321" s="117">
        <v>-243953.23</v>
      </c>
      <c r="AG321" s="117">
        <v>-168493.06</v>
      </c>
      <c r="AH321" s="117">
        <v>-155654.5</v>
      </c>
      <c r="AI321" s="117">
        <v>-128390.81</v>
      </c>
      <c r="AJ321" s="117">
        <v>-149989.94</v>
      </c>
      <c r="AK321" s="117">
        <v>-232942.25</v>
      </c>
      <c r="AL321" s="117">
        <v>-160077.45000000001</v>
      </c>
      <c r="AM321" s="117">
        <v>-173397.53</v>
      </c>
      <c r="AN321" s="117">
        <v>-152683.37</v>
      </c>
      <c r="AO321" s="150"/>
      <c r="AP321" s="117">
        <v>-129536.75</v>
      </c>
      <c r="AQ321" s="117">
        <v>-174778.2</v>
      </c>
      <c r="AR321" s="117">
        <v>-95570.12</v>
      </c>
      <c r="AS321" s="117">
        <v>0</v>
      </c>
      <c r="AT321" s="117">
        <v>0</v>
      </c>
      <c r="AU321" s="117">
        <v>0</v>
      </c>
      <c r="AV321" s="117">
        <v>0</v>
      </c>
      <c r="AW321" s="117">
        <v>0</v>
      </c>
      <c r="AX321" s="117">
        <v>0</v>
      </c>
      <c r="AY321" s="117">
        <v>0</v>
      </c>
      <c r="AZ321" s="117">
        <v>0</v>
      </c>
      <c r="BA321" s="117">
        <v>0</v>
      </c>
    </row>
    <row r="322" spans="1:53" s="138" customFormat="1" outlineLevel="2" x14ac:dyDescent="0.25">
      <c r="A322" s="138" t="s">
        <v>1010</v>
      </c>
      <c r="B322" s="139" t="s">
        <v>1011</v>
      </c>
      <c r="C322" s="140" t="s">
        <v>1012</v>
      </c>
      <c r="D322" s="141"/>
      <c r="E322" s="142"/>
      <c r="F322" s="143">
        <v>-50203.1</v>
      </c>
      <c r="G322" s="143">
        <v>-41508.43</v>
      </c>
      <c r="H322" s="144">
        <f t="shared" si="74"/>
        <v>-8694.6699999999983</v>
      </c>
      <c r="I322" s="145">
        <f t="shared" si="75"/>
        <v>-0.20946757080429201</v>
      </c>
      <c r="J322" s="146"/>
      <c r="K322" s="143">
        <v>-88872.540000000008</v>
      </c>
      <c r="L322" s="143">
        <v>-80118.67</v>
      </c>
      <c r="M322" s="144">
        <f t="shared" si="76"/>
        <v>-8753.8700000000099</v>
      </c>
      <c r="N322" s="145">
        <f t="shared" si="77"/>
        <v>-0.10926129951982491</v>
      </c>
      <c r="O322" s="147"/>
      <c r="P322" s="146"/>
      <c r="Q322" s="143">
        <v>-162820.54999999999</v>
      </c>
      <c r="R322" s="143">
        <v>-118052.98999999999</v>
      </c>
      <c r="S322" s="144">
        <f t="shared" si="78"/>
        <v>-44767.56</v>
      </c>
      <c r="T322" s="145">
        <f t="shared" si="79"/>
        <v>-0.37921580808753763</v>
      </c>
      <c r="U322" s="146"/>
      <c r="V322" s="143">
        <v>-625855.71000000008</v>
      </c>
      <c r="W322" s="143">
        <v>-590285.27</v>
      </c>
      <c r="X322" s="144">
        <f t="shared" si="80"/>
        <v>-35570.440000000061</v>
      </c>
      <c r="Y322" s="145">
        <f t="shared" si="81"/>
        <v>-6.0259745258424049E-2</v>
      </c>
      <c r="Z322" s="148"/>
      <c r="AA322" s="149">
        <v>-37934.32</v>
      </c>
      <c r="AB322" s="150"/>
      <c r="AC322" s="117">
        <v>-38610.239999999998</v>
      </c>
      <c r="AD322" s="117">
        <v>-41508.43</v>
      </c>
      <c r="AE322" s="117">
        <v>-45054.69</v>
      </c>
      <c r="AF322" s="117">
        <v>-68400.25</v>
      </c>
      <c r="AG322" s="117">
        <v>-48263.700000000004</v>
      </c>
      <c r="AH322" s="117">
        <v>-44432.46</v>
      </c>
      <c r="AI322" s="117">
        <v>-38357.31</v>
      </c>
      <c r="AJ322" s="117">
        <v>-41141.660000000003</v>
      </c>
      <c r="AK322" s="117">
        <v>-66976.3</v>
      </c>
      <c r="AL322" s="117">
        <v>-59141.24</v>
      </c>
      <c r="AM322" s="117">
        <v>-51267.55</v>
      </c>
      <c r="AN322" s="117">
        <v>-73948.009999999995</v>
      </c>
      <c r="AO322" s="150"/>
      <c r="AP322" s="117">
        <v>-38669.440000000002</v>
      </c>
      <c r="AQ322" s="117">
        <v>-50203.1</v>
      </c>
      <c r="AR322" s="117">
        <v>-26396.880000000001</v>
      </c>
      <c r="AS322" s="117">
        <v>0</v>
      </c>
      <c r="AT322" s="117">
        <v>0</v>
      </c>
      <c r="AU322" s="117">
        <v>0</v>
      </c>
      <c r="AV322" s="117">
        <v>0</v>
      </c>
      <c r="AW322" s="117">
        <v>0</v>
      </c>
      <c r="AX322" s="117">
        <v>0</v>
      </c>
      <c r="AY322" s="117">
        <v>0</v>
      </c>
      <c r="AZ322" s="117">
        <v>0</v>
      </c>
      <c r="BA322" s="117">
        <v>0</v>
      </c>
    </row>
    <row r="323" spans="1:53" s="138" customFormat="1" outlineLevel="2" x14ac:dyDescent="0.25">
      <c r="A323" s="138" t="s">
        <v>1013</v>
      </c>
      <c r="B323" s="139" t="s">
        <v>1014</v>
      </c>
      <c r="C323" s="140" t="s">
        <v>1015</v>
      </c>
      <c r="D323" s="141"/>
      <c r="E323" s="142"/>
      <c r="F323" s="143">
        <v>62775.53</v>
      </c>
      <c r="G323" s="143">
        <v>49888.85</v>
      </c>
      <c r="H323" s="144">
        <f t="shared" si="74"/>
        <v>12886.68</v>
      </c>
      <c r="I323" s="145">
        <f t="shared" si="75"/>
        <v>0.25830781828003652</v>
      </c>
      <c r="J323" s="146"/>
      <c r="K323" s="143">
        <v>109653.32</v>
      </c>
      <c r="L323" s="143">
        <v>92793.040000000008</v>
      </c>
      <c r="M323" s="144">
        <f t="shared" si="76"/>
        <v>16860.28</v>
      </c>
      <c r="N323" s="145">
        <f t="shared" si="77"/>
        <v>0.18169767905006665</v>
      </c>
      <c r="O323" s="147"/>
      <c r="P323" s="146"/>
      <c r="Q323" s="143">
        <v>160205.42000000001</v>
      </c>
      <c r="R323" s="143">
        <v>153918.13</v>
      </c>
      <c r="S323" s="144">
        <f t="shared" si="78"/>
        <v>6287.2900000000081</v>
      </c>
      <c r="T323" s="145">
        <f t="shared" si="79"/>
        <v>4.0848274339091876E-2</v>
      </c>
      <c r="U323" s="146"/>
      <c r="V323" s="143">
        <v>758801.98</v>
      </c>
      <c r="W323" s="143">
        <v>799996.99000000011</v>
      </c>
      <c r="X323" s="144">
        <f t="shared" si="80"/>
        <v>-41195.010000000126</v>
      </c>
      <c r="Y323" s="145">
        <f t="shared" si="81"/>
        <v>-5.1493956246010525E-2</v>
      </c>
      <c r="Z323" s="148"/>
      <c r="AA323" s="149">
        <v>61125.090000000004</v>
      </c>
      <c r="AB323" s="150"/>
      <c r="AC323" s="117">
        <v>42904.19</v>
      </c>
      <c r="AD323" s="117">
        <v>49888.85</v>
      </c>
      <c r="AE323" s="117">
        <v>52639.18</v>
      </c>
      <c r="AF323" s="117">
        <v>110987.24</v>
      </c>
      <c r="AG323" s="117">
        <v>76628.95</v>
      </c>
      <c r="AH323" s="117">
        <v>70987.62</v>
      </c>
      <c r="AI323" s="117">
        <v>44535.55</v>
      </c>
      <c r="AJ323" s="117">
        <v>51817.18</v>
      </c>
      <c r="AK323" s="117">
        <v>80583.150000000009</v>
      </c>
      <c r="AL323" s="117">
        <v>52957.68</v>
      </c>
      <c r="AM323" s="117">
        <v>57460.01</v>
      </c>
      <c r="AN323" s="117">
        <v>50552.1</v>
      </c>
      <c r="AO323" s="150"/>
      <c r="AP323" s="117">
        <v>46877.79</v>
      </c>
      <c r="AQ323" s="117">
        <v>62775.53</v>
      </c>
      <c r="AR323" s="117">
        <v>33731.49</v>
      </c>
      <c r="AS323" s="117">
        <v>0</v>
      </c>
      <c r="AT323" s="117">
        <v>0</v>
      </c>
      <c r="AU323" s="117">
        <v>0</v>
      </c>
      <c r="AV323" s="117">
        <v>0</v>
      </c>
      <c r="AW323" s="117">
        <v>0</v>
      </c>
      <c r="AX323" s="117">
        <v>0</v>
      </c>
      <c r="AY323" s="117">
        <v>0</v>
      </c>
      <c r="AZ323" s="117">
        <v>0</v>
      </c>
      <c r="BA323" s="117">
        <v>0</v>
      </c>
    </row>
    <row r="324" spans="1:53" s="138" customFormat="1" outlineLevel="2" x14ac:dyDescent="0.25">
      <c r="A324" s="138" t="s">
        <v>1016</v>
      </c>
      <c r="B324" s="139" t="s">
        <v>1017</v>
      </c>
      <c r="C324" s="140" t="s">
        <v>1018</v>
      </c>
      <c r="D324" s="141"/>
      <c r="E324" s="142"/>
      <c r="F324" s="143">
        <v>-45919.48</v>
      </c>
      <c r="G324" s="143">
        <v>-33578.26</v>
      </c>
      <c r="H324" s="144">
        <f t="shared" si="74"/>
        <v>-12341.220000000001</v>
      </c>
      <c r="I324" s="145">
        <f t="shared" si="75"/>
        <v>-0.36753601884076187</v>
      </c>
      <c r="J324" s="146"/>
      <c r="K324" s="143">
        <v>-78591.350000000006</v>
      </c>
      <c r="L324" s="143">
        <v>-63745.83</v>
      </c>
      <c r="M324" s="144">
        <f t="shared" si="76"/>
        <v>-14845.520000000004</v>
      </c>
      <c r="N324" s="145">
        <f t="shared" si="77"/>
        <v>-0.23288613545387996</v>
      </c>
      <c r="O324" s="147"/>
      <c r="P324" s="146"/>
      <c r="Q324" s="143">
        <v>-112553.06</v>
      </c>
      <c r="R324" s="143">
        <v>-100026.11</v>
      </c>
      <c r="S324" s="144">
        <f t="shared" si="78"/>
        <v>-12526.949999999997</v>
      </c>
      <c r="T324" s="145">
        <f t="shared" si="79"/>
        <v>-0.12523680067134468</v>
      </c>
      <c r="U324" s="146"/>
      <c r="V324" s="143">
        <v>-409076.4</v>
      </c>
      <c r="W324" s="143">
        <v>-877293.27</v>
      </c>
      <c r="X324" s="144">
        <f t="shared" si="80"/>
        <v>468216.87</v>
      </c>
      <c r="Y324" s="145">
        <f t="shared" si="81"/>
        <v>0.53370621434266785</v>
      </c>
      <c r="Z324" s="148"/>
      <c r="AA324" s="149">
        <v>-36280.28</v>
      </c>
      <c r="AB324" s="150"/>
      <c r="AC324" s="117">
        <v>-30167.57</v>
      </c>
      <c r="AD324" s="117">
        <v>-33578.26</v>
      </c>
      <c r="AE324" s="117">
        <v>-34602.239999999998</v>
      </c>
      <c r="AF324" s="117">
        <v>-44800.020000000004</v>
      </c>
      <c r="AG324" s="117">
        <v>-29128.46</v>
      </c>
      <c r="AH324" s="117">
        <v>-28203.190000000002</v>
      </c>
      <c r="AI324" s="117">
        <v>-26070.63</v>
      </c>
      <c r="AJ324" s="117">
        <v>-32663.06</v>
      </c>
      <c r="AK324" s="117">
        <v>-38181.42</v>
      </c>
      <c r="AL324" s="117">
        <v>-28779.100000000002</v>
      </c>
      <c r="AM324" s="117">
        <v>-34095.22</v>
      </c>
      <c r="AN324" s="117">
        <v>-33961.71</v>
      </c>
      <c r="AO324" s="150"/>
      <c r="AP324" s="117">
        <v>-32671.87</v>
      </c>
      <c r="AQ324" s="117">
        <v>-45919.48</v>
      </c>
      <c r="AR324" s="117">
        <v>0</v>
      </c>
      <c r="AS324" s="117">
        <v>0</v>
      </c>
      <c r="AT324" s="117">
        <v>0</v>
      </c>
      <c r="AU324" s="117">
        <v>0</v>
      </c>
      <c r="AV324" s="117">
        <v>0</v>
      </c>
      <c r="AW324" s="117">
        <v>0</v>
      </c>
      <c r="AX324" s="117">
        <v>0</v>
      </c>
      <c r="AY324" s="117">
        <v>0</v>
      </c>
      <c r="AZ324" s="117">
        <v>0</v>
      </c>
      <c r="BA324" s="117">
        <v>0</v>
      </c>
    </row>
    <row r="325" spans="1:53" s="138" customFormat="1" outlineLevel="2" x14ac:dyDescent="0.25">
      <c r="A325" s="138" t="s">
        <v>1019</v>
      </c>
      <c r="B325" s="139" t="s">
        <v>1020</v>
      </c>
      <c r="C325" s="140" t="s">
        <v>1021</v>
      </c>
      <c r="D325" s="141"/>
      <c r="E325" s="142"/>
      <c r="F325" s="143">
        <v>0</v>
      </c>
      <c r="G325" s="143">
        <v>0</v>
      </c>
      <c r="H325" s="144">
        <f t="shared" si="74"/>
        <v>0</v>
      </c>
      <c r="I325" s="145">
        <f t="shared" si="75"/>
        <v>0</v>
      </c>
      <c r="J325" s="146"/>
      <c r="K325" s="143">
        <v>0</v>
      </c>
      <c r="L325" s="143">
        <v>0</v>
      </c>
      <c r="M325" s="144">
        <f t="shared" si="76"/>
        <v>0</v>
      </c>
      <c r="N325" s="145">
        <f t="shared" si="77"/>
        <v>0</v>
      </c>
      <c r="O325" s="147"/>
      <c r="P325" s="146"/>
      <c r="Q325" s="143">
        <v>0</v>
      </c>
      <c r="R325" s="143">
        <v>30315.33</v>
      </c>
      <c r="S325" s="144">
        <f t="shared" si="78"/>
        <v>-30315.33</v>
      </c>
      <c r="T325" s="145" t="str">
        <f t="shared" si="79"/>
        <v>N.M.</v>
      </c>
      <c r="U325" s="146"/>
      <c r="V325" s="143">
        <v>0</v>
      </c>
      <c r="W325" s="143">
        <v>301225.89</v>
      </c>
      <c r="X325" s="144">
        <f t="shared" si="80"/>
        <v>-301225.89</v>
      </c>
      <c r="Y325" s="145" t="str">
        <f t="shared" si="81"/>
        <v>N.M.</v>
      </c>
      <c r="Z325" s="148"/>
      <c r="AA325" s="149">
        <v>30315.33</v>
      </c>
      <c r="AB325" s="150"/>
      <c r="AC325" s="117">
        <v>0</v>
      </c>
      <c r="AD325" s="117">
        <v>0</v>
      </c>
      <c r="AE325" s="117">
        <v>0</v>
      </c>
      <c r="AF325" s="117">
        <v>0</v>
      </c>
      <c r="AG325" s="117">
        <v>0</v>
      </c>
      <c r="AH325" s="117">
        <v>0</v>
      </c>
      <c r="AI325" s="117">
        <v>0</v>
      </c>
      <c r="AJ325" s="117">
        <v>0</v>
      </c>
      <c r="AK325" s="117">
        <v>0</v>
      </c>
      <c r="AL325" s="117">
        <v>0</v>
      </c>
      <c r="AM325" s="117">
        <v>0</v>
      </c>
      <c r="AN325" s="117">
        <v>0</v>
      </c>
      <c r="AO325" s="150"/>
      <c r="AP325" s="117">
        <v>0</v>
      </c>
      <c r="AQ325" s="117">
        <v>0</v>
      </c>
      <c r="AR325" s="117">
        <v>0</v>
      </c>
      <c r="AS325" s="117">
        <v>0</v>
      </c>
      <c r="AT325" s="117">
        <v>0</v>
      </c>
      <c r="AU325" s="117">
        <v>0</v>
      </c>
      <c r="AV325" s="117">
        <v>0</v>
      </c>
      <c r="AW325" s="117">
        <v>0</v>
      </c>
      <c r="AX325" s="117">
        <v>0</v>
      </c>
      <c r="AY325" s="117">
        <v>0</v>
      </c>
      <c r="AZ325" s="117">
        <v>0</v>
      </c>
      <c r="BA325" s="117">
        <v>0</v>
      </c>
    </row>
    <row r="326" spans="1:53" s="138" customFormat="1" outlineLevel="2" x14ac:dyDescent="0.25">
      <c r="A326" s="138" t="s">
        <v>1022</v>
      </c>
      <c r="B326" s="139" t="s">
        <v>1023</v>
      </c>
      <c r="C326" s="140" t="s">
        <v>1024</v>
      </c>
      <c r="D326" s="141"/>
      <c r="E326" s="142"/>
      <c r="F326" s="143">
        <v>-9128.5300000000007</v>
      </c>
      <c r="G326" s="143">
        <v>2439.7000000000003</v>
      </c>
      <c r="H326" s="144">
        <f t="shared" si="74"/>
        <v>-11568.230000000001</v>
      </c>
      <c r="I326" s="145">
        <f t="shared" si="75"/>
        <v>-4.7416608599417964</v>
      </c>
      <c r="J326" s="146"/>
      <c r="K326" s="143">
        <v>-79688.62</v>
      </c>
      <c r="L326" s="143">
        <v>-63119.380000000005</v>
      </c>
      <c r="M326" s="144">
        <f t="shared" si="76"/>
        <v>-16569.239999999991</v>
      </c>
      <c r="N326" s="145">
        <f t="shared" si="77"/>
        <v>-0.26250638076609734</v>
      </c>
      <c r="O326" s="147"/>
      <c r="P326" s="146"/>
      <c r="Q326" s="143">
        <v>-99919.049999999988</v>
      </c>
      <c r="R326" s="143">
        <v>-78775.31</v>
      </c>
      <c r="S326" s="144">
        <f t="shared" si="78"/>
        <v>-21143.739999999991</v>
      </c>
      <c r="T326" s="145">
        <f t="shared" si="79"/>
        <v>-0.26840567177710872</v>
      </c>
      <c r="U326" s="146"/>
      <c r="V326" s="143">
        <v>-37673.039999999994</v>
      </c>
      <c r="W326" s="143">
        <v>16539.669999999998</v>
      </c>
      <c r="X326" s="144">
        <f t="shared" si="80"/>
        <v>-54212.709999999992</v>
      </c>
      <c r="Y326" s="145">
        <f t="shared" si="81"/>
        <v>-3.2777383103774138</v>
      </c>
      <c r="Z326" s="148"/>
      <c r="AA326" s="149">
        <v>-15655.93</v>
      </c>
      <c r="AB326" s="150"/>
      <c r="AC326" s="117">
        <v>-65559.08</v>
      </c>
      <c r="AD326" s="117">
        <v>2439.7000000000003</v>
      </c>
      <c r="AE326" s="117">
        <v>-34069.94</v>
      </c>
      <c r="AF326" s="117">
        <v>104568.37</v>
      </c>
      <c r="AG326" s="117">
        <v>-217</v>
      </c>
      <c r="AH326" s="117">
        <v>-43204.770000000004</v>
      </c>
      <c r="AI326" s="117">
        <v>14139.130000000001</v>
      </c>
      <c r="AJ326" s="117">
        <v>-67667.63</v>
      </c>
      <c r="AK326" s="117">
        <v>101665.2</v>
      </c>
      <c r="AL326" s="117">
        <v>-12371.44</v>
      </c>
      <c r="AM326" s="117">
        <v>-595.91</v>
      </c>
      <c r="AN326" s="117">
        <v>-20230.43</v>
      </c>
      <c r="AO326" s="150"/>
      <c r="AP326" s="117">
        <v>-70560.09</v>
      </c>
      <c r="AQ326" s="117">
        <v>-9128.5300000000007</v>
      </c>
      <c r="AR326" s="117">
        <v>210553.16</v>
      </c>
      <c r="AS326" s="117">
        <v>0</v>
      </c>
      <c r="AT326" s="117">
        <v>0</v>
      </c>
      <c r="AU326" s="117">
        <v>0</v>
      </c>
      <c r="AV326" s="117">
        <v>0</v>
      </c>
      <c r="AW326" s="117">
        <v>0</v>
      </c>
      <c r="AX326" s="117">
        <v>0</v>
      </c>
      <c r="AY326" s="117">
        <v>0</v>
      </c>
      <c r="AZ326" s="117">
        <v>0</v>
      </c>
      <c r="BA326" s="117">
        <v>0</v>
      </c>
    </row>
    <row r="327" spans="1:53" s="138" customFormat="1" outlineLevel="2" x14ac:dyDescent="0.25">
      <c r="A327" s="138" t="s">
        <v>1025</v>
      </c>
      <c r="B327" s="139" t="s">
        <v>1026</v>
      </c>
      <c r="C327" s="140" t="s">
        <v>1027</v>
      </c>
      <c r="D327" s="141"/>
      <c r="E327" s="142"/>
      <c r="F327" s="143">
        <v>18051.68</v>
      </c>
      <c r="G327" s="143">
        <v>18051.68</v>
      </c>
      <c r="H327" s="144">
        <f t="shared" si="74"/>
        <v>0</v>
      </c>
      <c r="I327" s="145">
        <f t="shared" si="75"/>
        <v>0</v>
      </c>
      <c r="J327" s="146"/>
      <c r="K327" s="143">
        <v>36103.360000000001</v>
      </c>
      <c r="L327" s="143">
        <v>36103.360000000001</v>
      </c>
      <c r="M327" s="144">
        <f t="shared" si="76"/>
        <v>0</v>
      </c>
      <c r="N327" s="145">
        <f t="shared" si="77"/>
        <v>0</v>
      </c>
      <c r="O327" s="147"/>
      <c r="P327" s="146"/>
      <c r="Q327" s="143">
        <v>54155.040000000001</v>
      </c>
      <c r="R327" s="143">
        <v>54155.040000000001</v>
      </c>
      <c r="S327" s="144">
        <f t="shared" si="78"/>
        <v>0</v>
      </c>
      <c r="T327" s="145">
        <f t="shared" si="79"/>
        <v>0</v>
      </c>
      <c r="U327" s="146"/>
      <c r="V327" s="143">
        <v>216620.16000000003</v>
      </c>
      <c r="W327" s="143">
        <v>216620.16000000003</v>
      </c>
      <c r="X327" s="144">
        <f t="shared" si="80"/>
        <v>0</v>
      </c>
      <c r="Y327" s="145">
        <f t="shared" si="81"/>
        <v>0</v>
      </c>
      <c r="Z327" s="148"/>
      <c r="AA327" s="149">
        <v>18051.68</v>
      </c>
      <c r="AB327" s="150"/>
      <c r="AC327" s="117">
        <v>18051.68</v>
      </c>
      <c r="AD327" s="117">
        <v>18051.68</v>
      </c>
      <c r="AE327" s="117">
        <v>18051.68</v>
      </c>
      <c r="AF327" s="117">
        <v>18051.68</v>
      </c>
      <c r="AG327" s="117">
        <v>18051.68</v>
      </c>
      <c r="AH327" s="117">
        <v>18051.68</v>
      </c>
      <c r="AI327" s="117">
        <v>18051.68</v>
      </c>
      <c r="AJ327" s="117">
        <v>18051.68</v>
      </c>
      <c r="AK327" s="117">
        <v>18051.68</v>
      </c>
      <c r="AL327" s="117">
        <v>18051.68</v>
      </c>
      <c r="AM327" s="117">
        <v>18051.68</v>
      </c>
      <c r="AN327" s="117">
        <v>18051.68</v>
      </c>
      <c r="AO327" s="150"/>
      <c r="AP327" s="117">
        <v>18051.68</v>
      </c>
      <c r="AQ327" s="117">
        <v>18051.68</v>
      </c>
      <c r="AR327" s="117">
        <v>0</v>
      </c>
      <c r="AS327" s="117">
        <v>0</v>
      </c>
      <c r="AT327" s="117">
        <v>0</v>
      </c>
      <c r="AU327" s="117">
        <v>0</v>
      </c>
      <c r="AV327" s="117">
        <v>0</v>
      </c>
      <c r="AW327" s="117">
        <v>0</v>
      </c>
      <c r="AX327" s="117">
        <v>0</v>
      </c>
      <c r="AY327" s="117">
        <v>0</v>
      </c>
      <c r="AZ327" s="117">
        <v>0</v>
      </c>
      <c r="BA327" s="117">
        <v>0</v>
      </c>
    </row>
    <row r="328" spans="1:53" s="138" customFormat="1" outlineLevel="2" x14ac:dyDescent="0.25">
      <c r="A328" s="138" t="s">
        <v>1028</v>
      </c>
      <c r="B328" s="139" t="s">
        <v>1029</v>
      </c>
      <c r="C328" s="140" t="s">
        <v>1030</v>
      </c>
      <c r="D328" s="141"/>
      <c r="E328" s="142"/>
      <c r="F328" s="143">
        <v>11670.45</v>
      </c>
      <c r="G328" s="143">
        <v>11681.49</v>
      </c>
      <c r="H328" s="144">
        <f t="shared" si="74"/>
        <v>-11.039999999999054</v>
      </c>
      <c r="I328" s="145">
        <f t="shared" si="75"/>
        <v>-9.4508491639329014E-4</v>
      </c>
      <c r="J328" s="146"/>
      <c r="K328" s="143">
        <v>23439.850000000002</v>
      </c>
      <c r="L328" s="143">
        <v>22771.54</v>
      </c>
      <c r="M328" s="144">
        <f t="shared" si="76"/>
        <v>668.31000000000131</v>
      </c>
      <c r="N328" s="145">
        <f t="shared" si="77"/>
        <v>2.9348476211973423E-2</v>
      </c>
      <c r="O328" s="147"/>
      <c r="P328" s="146"/>
      <c r="Q328" s="143">
        <v>35448.730000000003</v>
      </c>
      <c r="R328" s="143">
        <v>33630.449999999997</v>
      </c>
      <c r="S328" s="144">
        <f t="shared" si="78"/>
        <v>1818.2800000000061</v>
      </c>
      <c r="T328" s="145">
        <f t="shared" si="79"/>
        <v>5.4066478444386154E-2</v>
      </c>
      <c r="U328" s="146"/>
      <c r="V328" s="143">
        <v>140985.44</v>
      </c>
      <c r="W328" s="143">
        <v>136315.81</v>
      </c>
      <c r="X328" s="144">
        <f t="shared" si="80"/>
        <v>4669.6300000000047</v>
      </c>
      <c r="Y328" s="145">
        <f t="shared" si="81"/>
        <v>3.4255967814738469E-2</v>
      </c>
      <c r="Z328" s="148"/>
      <c r="AA328" s="149">
        <v>10858.91</v>
      </c>
      <c r="AB328" s="150"/>
      <c r="AC328" s="117">
        <v>11090.050000000001</v>
      </c>
      <c r="AD328" s="117">
        <v>11681.49</v>
      </c>
      <c r="AE328" s="117">
        <v>11630.65</v>
      </c>
      <c r="AF328" s="117">
        <v>11528.01</v>
      </c>
      <c r="AG328" s="117">
        <v>11597.87</v>
      </c>
      <c r="AH328" s="117">
        <v>11493.11</v>
      </c>
      <c r="AI328" s="117">
        <v>11442.29</v>
      </c>
      <c r="AJ328" s="117">
        <v>12359.07</v>
      </c>
      <c r="AK328" s="117">
        <v>11675.34</v>
      </c>
      <c r="AL328" s="117">
        <v>11863.28</v>
      </c>
      <c r="AM328" s="117">
        <v>11947.09</v>
      </c>
      <c r="AN328" s="117">
        <v>12008.880000000001</v>
      </c>
      <c r="AO328" s="150"/>
      <c r="AP328" s="117">
        <v>11769.4</v>
      </c>
      <c r="AQ328" s="117">
        <v>11670.45</v>
      </c>
      <c r="AR328" s="117">
        <v>0</v>
      </c>
      <c r="AS328" s="117">
        <v>0</v>
      </c>
      <c r="AT328" s="117">
        <v>0</v>
      </c>
      <c r="AU328" s="117">
        <v>0</v>
      </c>
      <c r="AV328" s="117">
        <v>0</v>
      </c>
      <c r="AW328" s="117">
        <v>0</v>
      </c>
      <c r="AX328" s="117">
        <v>0</v>
      </c>
      <c r="AY328" s="117">
        <v>0</v>
      </c>
      <c r="AZ328" s="117">
        <v>0</v>
      </c>
      <c r="BA328" s="117">
        <v>0</v>
      </c>
    </row>
    <row r="329" spans="1:53" s="138" customFormat="1" outlineLevel="2" x14ac:dyDescent="0.25">
      <c r="A329" s="138" t="s">
        <v>1031</v>
      </c>
      <c r="B329" s="139" t="s">
        <v>1032</v>
      </c>
      <c r="C329" s="140" t="s">
        <v>1033</v>
      </c>
      <c r="D329" s="141"/>
      <c r="E329" s="142"/>
      <c r="F329" s="143">
        <v>-5.59</v>
      </c>
      <c r="G329" s="143">
        <v>30.63</v>
      </c>
      <c r="H329" s="144">
        <f t="shared" si="74"/>
        <v>-36.22</v>
      </c>
      <c r="I329" s="145">
        <f t="shared" si="75"/>
        <v>-1.1825008161932746</v>
      </c>
      <c r="J329" s="146"/>
      <c r="K329" s="143">
        <v>-1.01</v>
      </c>
      <c r="L329" s="143">
        <v>34.300000000000004</v>
      </c>
      <c r="M329" s="144">
        <f t="shared" si="76"/>
        <v>-35.31</v>
      </c>
      <c r="N329" s="145">
        <f t="shared" si="77"/>
        <v>-1.0294460641399417</v>
      </c>
      <c r="O329" s="147"/>
      <c r="P329" s="146"/>
      <c r="Q329" s="143">
        <v>-1.06</v>
      </c>
      <c r="R329" s="143">
        <v>53.95</v>
      </c>
      <c r="S329" s="144">
        <f t="shared" si="78"/>
        <v>-55.010000000000005</v>
      </c>
      <c r="T329" s="145">
        <f t="shared" si="79"/>
        <v>-1.0196478220574607</v>
      </c>
      <c r="U329" s="146"/>
      <c r="V329" s="143">
        <v>-57.9</v>
      </c>
      <c r="W329" s="143">
        <v>103.52000000000001</v>
      </c>
      <c r="X329" s="144">
        <f t="shared" si="80"/>
        <v>-161.42000000000002</v>
      </c>
      <c r="Y329" s="145">
        <f t="shared" si="81"/>
        <v>-1.5593122102009274</v>
      </c>
      <c r="Z329" s="148"/>
      <c r="AA329" s="149">
        <v>19.650000000000002</v>
      </c>
      <c r="AB329" s="150"/>
      <c r="AC329" s="117">
        <v>3.67</v>
      </c>
      <c r="AD329" s="117">
        <v>30.63</v>
      </c>
      <c r="AE329" s="117">
        <v>-55.52</v>
      </c>
      <c r="AF329" s="117">
        <v>-2.34</v>
      </c>
      <c r="AG329" s="117">
        <v>9</v>
      </c>
      <c r="AH329" s="117">
        <v>-9</v>
      </c>
      <c r="AI329" s="117">
        <v>0</v>
      </c>
      <c r="AJ329" s="117">
        <v>7.36</v>
      </c>
      <c r="AK329" s="117">
        <v>43.97</v>
      </c>
      <c r="AL329" s="117">
        <v>-34.69</v>
      </c>
      <c r="AM329" s="117">
        <v>-15.620000000000001</v>
      </c>
      <c r="AN329" s="117">
        <v>-0.05</v>
      </c>
      <c r="AO329" s="150"/>
      <c r="AP329" s="117">
        <v>4.58</v>
      </c>
      <c r="AQ329" s="117">
        <v>-5.59</v>
      </c>
      <c r="AR329" s="117">
        <v>0</v>
      </c>
      <c r="AS329" s="117">
        <v>0</v>
      </c>
      <c r="AT329" s="117">
        <v>0</v>
      </c>
      <c r="AU329" s="117">
        <v>0</v>
      </c>
      <c r="AV329" s="117">
        <v>0</v>
      </c>
      <c r="AW329" s="117">
        <v>0</v>
      </c>
      <c r="AX329" s="117">
        <v>0</v>
      </c>
      <c r="AY329" s="117">
        <v>0</v>
      </c>
      <c r="AZ329" s="117">
        <v>0</v>
      </c>
      <c r="BA329" s="117">
        <v>0</v>
      </c>
    </row>
    <row r="330" spans="1:53" s="138" customFormat="1" outlineLevel="2" x14ac:dyDescent="0.25">
      <c r="A330" s="138" t="s">
        <v>1034</v>
      </c>
      <c r="B330" s="139" t="s">
        <v>1035</v>
      </c>
      <c r="C330" s="140" t="s">
        <v>1036</v>
      </c>
      <c r="D330" s="141"/>
      <c r="E330" s="142"/>
      <c r="F330" s="143">
        <v>0</v>
      </c>
      <c r="G330" s="143">
        <v>0</v>
      </c>
      <c r="H330" s="144">
        <f t="shared" si="74"/>
        <v>0</v>
      </c>
      <c r="I330" s="145">
        <f t="shared" si="75"/>
        <v>0</v>
      </c>
      <c r="J330" s="146"/>
      <c r="K330" s="143">
        <v>0</v>
      </c>
      <c r="L330" s="143">
        <v>0</v>
      </c>
      <c r="M330" s="144">
        <f t="shared" si="76"/>
        <v>0</v>
      </c>
      <c r="N330" s="145">
        <f t="shared" si="77"/>
        <v>0</v>
      </c>
      <c r="O330" s="147"/>
      <c r="P330" s="146"/>
      <c r="Q330" s="143">
        <v>0</v>
      </c>
      <c r="R330" s="143">
        <v>0</v>
      </c>
      <c r="S330" s="144">
        <f t="shared" si="78"/>
        <v>0</v>
      </c>
      <c r="T330" s="145">
        <f t="shared" si="79"/>
        <v>0</v>
      </c>
      <c r="U330" s="146"/>
      <c r="V330" s="143">
        <v>169.70000000000002</v>
      </c>
      <c r="W330" s="143">
        <v>-12.01</v>
      </c>
      <c r="X330" s="144">
        <f t="shared" si="80"/>
        <v>181.71</v>
      </c>
      <c r="Y330" s="145" t="str">
        <f t="shared" si="81"/>
        <v>N.M.</v>
      </c>
      <c r="Z330" s="148"/>
      <c r="AA330" s="149">
        <v>0</v>
      </c>
      <c r="AB330" s="150"/>
      <c r="AC330" s="117">
        <v>0</v>
      </c>
      <c r="AD330" s="117">
        <v>0</v>
      </c>
      <c r="AE330" s="117">
        <v>21.32</v>
      </c>
      <c r="AF330" s="117">
        <v>150.45000000000002</v>
      </c>
      <c r="AG330" s="117">
        <v>-2.11</v>
      </c>
      <c r="AH330" s="117">
        <v>15.76</v>
      </c>
      <c r="AI330" s="117">
        <v>-2.4</v>
      </c>
      <c r="AJ330" s="117">
        <v>15.07</v>
      </c>
      <c r="AK330" s="117">
        <v>-28.39</v>
      </c>
      <c r="AL330" s="117">
        <v>0</v>
      </c>
      <c r="AM330" s="117">
        <v>0</v>
      </c>
      <c r="AN330" s="117">
        <v>0</v>
      </c>
      <c r="AO330" s="150"/>
      <c r="AP330" s="117">
        <v>0</v>
      </c>
      <c r="AQ330" s="117">
        <v>0</v>
      </c>
      <c r="AR330" s="117">
        <v>0</v>
      </c>
      <c r="AS330" s="117">
        <v>0</v>
      </c>
      <c r="AT330" s="117">
        <v>0</v>
      </c>
      <c r="AU330" s="117">
        <v>0</v>
      </c>
      <c r="AV330" s="117">
        <v>0</v>
      </c>
      <c r="AW330" s="117">
        <v>0</v>
      </c>
      <c r="AX330" s="117">
        <v>0</v>
      </c>
      <c r="AY330" s="117">
        <v>0</v>
      </c>
      <c r="AZ330" s="117">
        <v>0</v>
      </c>
      <c r="BA330" s="117">
        <v>0</v>
      </c>
    </row>
    <row r="331" spans="1:53" s="138" customFormat="1" outlineLevel="2" x14ac:dyDescent="0.25">
      <c r="A331" s="138" t="s">
        <v>1037</v>
      </c>
      <c r="B331" s="139" t="s">
        <v>1038</v>
      </c>
      <c r="C331" s="140" t="s">
        <v>1039</v>
      </c>
      <c r="D331" s="141"/>
      <c r="E331" s="142"/>
      <c r="F331" s="143">
        <v>270167.72000000003</v>
      </c>
      <c r="G331" s="143">
        <v>6048.5</v>
      </c>
      <c r="H331" s="144">
        <f t="shared" si="74"/>
        <v>264119.22000000003</v>
      </c>
      <c r="I331" s="145" t="str">
        <f t="shared" si="75"/>
        <v>N.M.</v>
      </c>
      <c r="J331" s="146"/>
      <c r="K331" s="143">
        <v>459447.98</v>
      </c>
      <c r="L331" s="143">
        <v>10451.59</v>
      </c>
      <c r="M331" s="144">
        <f t="shared" si="76"/>
        <v>448996.38999999996</v>
      </c>
      <c r="N331" s="145" t="str">
        <f t="shared" si="77"/>
        <v>N.M.</v>
      </c>
      <c r="O331" s="147"/>
      <c r="P331" s="146"/>
      <c r="Q331" s="143">
        <v>707840.7</v>
      </c>
      <c r="R331" s="143">
        <v>16338.03</v>
      </c>
      <c r="S331" s="144">
        <f t="shared" si="78"/>
        <v>691502.66999999993</v>
      </c>
      <c r="T331" s="145" t="str">
        <f t="shared" si="79"/>
        <v>N.M.</v>
      </c>
      <c r="U331" s="146"/>
      <c r="V331" s="143">
        <v>935509.66999999993</v>
      </c>
      <c r="W331" s="143">
        <v>1218868.81</v>
      </c>
      <c r="X331" s="144">
        <f t="shared" si="80"/>
        <v>-283359.14000000013</v>
      </c>
      <c r="Y331" s="145">
        <f t="shared" si="81"/>
        <v>-0.23247714411528844</v>
      </c>
      <c r="Z331" s="148"/>
      <c r="AA331" s="149">
        <v>5886.4400000000005</v>
      </c>
      <c r="AB331" s="150"/>
      <c r="AC331" s="117">
        <v>4403.09</v>
      </c>
      <c r="AD331" s="117">
        <v>6048.5</v>
      </c>
      <c r="AE331" s="117">
        <v>6247.88</v>
      </c>
      <c r="AF331" s="117">
        <v>-5237.87</v>
      </c>
      <c r="AG331" s="117">
        <v>4573.9400000000005</v>
      </c>
      <c r="AH331" s="117">
        <v>8474.02</v>
      </c>
      <c r="AI331" s="117">
        <v>10288.02</v>
      </c>
      <c r="AJ331" s="117">
        <v>10336.18</v>
      </c>
      <c r="AK331" s="117">
        <v>7651.93</v>
      </c>
      <c r="AL331" s="117">
        <v>37280.340000000004</v>
      </c>
      <c r="AM331" s="117">
        <v>148054.53</v>
      </c>
      <c r="AN331" s="117">
        <v>248392.72</v>
      </c>
      <c r="AO331" s="150"/>
      <c r="AP331" s="117">
        <v>189280.26</v>
      </c>
      <c r="AQ331" s="117">
        <v>270167.72000000003</v>
      </c>
      <c r="AR331" s="117">
        <v>-121383.77</v>
      </c>
      <c r="AS331" s="117">
        <v>0</v>
      </c>
      <c r="AT331" s="117">
        <v>0</v>
      </c>
      <c r="AU331" s="117">
        <v>0</v>
      </c>
      <c r="AV331" s="117">
        <v>0</v>
      </c>
      <c r="AW331" s="117">
        <v>0</v>
      </c>
      <c r="AX331" s="117">
        <v>0</v>
      </c>
      <c r="AY331" s="117">
        <v>0</v>
      </c>
      <c r="AZ331" s="117">
        <v>0</v>
      </c>
      <c r="BA331" s="117">
        <v>0</v>
      </c>
    </row>
    <row r="332" spans="1:53" s="138" customFormat="1" outlineLevel="2" x14ac:dyDescent="0.25">
      <c r="A332" s="138" t="s">
        <v>1040</v>
      </c>
      <c r="B332" s="139" t="s">
        <v>1041</v>
      </c>
      <c r="C332" s="140" t="s">
        <v>1042</v>
      </c>
      <c r="D332" s="141"/>
      <c r="E332" s="142"/>
      <c r="F332" s="143">
        <v>1009.9</v>
      </c>
      <c r="G332" s="143">
        <v>0</v>
      </c>
      <c r="H332" s="144">
        <f t="shared" si="74"/>
        <v>1009.9</v>
      </c>
      <c r="I332" s="145" t="str">
        <f t="shared" si="75"/>
        <v>N.M.</v>
      </c>
      <c r="J332" s="146"/>
      <c r="K332" s="143">
        <v>5312.33</v>
      </c>
      <c r="L332" s="143">
        <v>0</v>
      </c>
      <c r="M332" s="144">
        <f t="shared" si="76"/>
        <v>5312.33</v>
      </c>
      <c r="N332" s="145" t="str">
        <f t="shared" si="77"/>
        <v>N.M.</v>
      </c>
      <c r="O332" s="147"/>
      <c r="P332" s="146"/>
      <c r="Q332" s="143">
        <v>9775.64</v>
      </c>
      <c r="R332" s="143">
        <v>0</v>
      </c>
      <c r="S332" s="144">
        <f t="shared" si="78"/>
        <v>9775.64</v>
      </c>
      <c r="T332" s="145" t="str">
        <f t="shared" si="79"/>
        <v>N.M.</v>
      </c>
      <c r="U332" s="146"/>
      <c r="V332" s="143">
        <v>16187.82</v>
      </c>
      <c r="W332" s="143">
        <v>0</v>
      </c>
      <c r="X332" s="144">
        <f t="shared" si="80"/>
        <v>16187.82</v>
      </c>
      <c r="Y332" s="145" t="str">
        <f t="shared" si="81"/>
        <v>N.M.</v>
      </c>
      <c r="Z332" s="148"/>
      <c r="AA332" s="149">
        <v>0</v>
      </c>
      <c r="AB332" s="150"/>
      <c r="AC332" s="117">
        <v>0</v>
      </c>
      <c r="AD332" s="117">
        <v>0</v>
      </c>
      <c r="AE332" s="117">
        <v>0</v>
      </c>
      <c r="AF332" s="117">
        <v>0</v>
      </c>
      <c r="AG332" s="117">
        <v>0</v>
      </c>
      <c r="AH332" s="117">
        <v>0</v>
      </c>
      <c r="AI332" s="117">
        <v>0</v>
      </c>
      <c r="AJ332" s="117">
        <v>0</v>
      </c>
      <c r="AK332" s="117">
        <v>0</v>
      </c>
      <c r="AL332" s="117">
        <v>0</v>
      </c>
      <c r="AM332" s="117">
        <v>6412.18</v>
      </c>
      <c r="AN332" s="117">
        <v>4463.3100000000004</v>
      </c>
      <c r="AO332" s="150"/>
      <c r="AP332" s="117">
        <v>4302.43</v>
      </c>
      <c r="AQ332" s="117">
        <v>1009.9</v>
      </c>
      <c r="AR332" s="117">
        <v>0</v>
      </c>
      <c r="AS332" s="117">
        <v>0</v>
      </c>
      <c r="AT332" s="117">
        <v>0</v>
      </c>
      <c r="AU332" s="117">
        <v>0</v>
      </c>
      <c r="AV332" s="117">
        <v>0</v>
      </c>
      <c r="AW332" s="117">
        <v>0</v>
      </c>
      <c r="AX332" s="117">
        <v>0</v>
      </c>
      <c r="AY332" s="117">
        <v>0</v>
      </c>
      <c r="AZ332" s="117">
        <v>0</v>
      </c>
      <c r="BA332" s="117">
        <v>0</v>
      </c>
    </row>
    <row r="333" spans="1:53" s="138" customFormat="1" outlineLevel="2" x14ac:dyDescent="0.25">
      <c r="A333" s="138" t="s">
        <v>1043</v>
      </c>
      <c r="B333" s="139" t="s">
        <v>1044</v>
      </c>
      <c r="C333" s="140" t="s">
        <v>1045</v>
      </c>
      <c r="D333" s="141"/>
      <c r="E333" s="142"/>
      <c r="F333" s="143">
        <v>922.2</v>
      </c>
      <c r="G333" s="143">
        <v>0</v>
      </c>
      <c r="H333" s="144">
        <f t="shared" si="74"/>
        <v>922.2</v>
      </c>
      <c r="I333" s="145" t="str">
        <f t="shared" si="75"/>
        <v>N.M.</v>
      </c>
      <c r="J333" s="146"/>
      <c r="K333" s="143">
        <v>922.2</v>
      </c>
      <c r="L333" s="143">
        <v>0</v>
      </c>
      <c r="M333" s="144">
        <f t="shared" si="76"/>
        <v>922.2</v>
      </c>
      <c r="N333" s="145" t="str">
        <f t="shared" si="77"/>
        <v>N.M.</v>
      </c>
      <c r="O333" s="147"/>
      <c r="P333" s="146"/>
      <c r="Q333" s="143">
        <v>1360.64</v>
      </c>
      <c r="R333" s="143">
        <v>0</v>
      </c>
      <c r="S333" s="144">
        <f t="shared" si="78"/>
        <v>1360.64</v>
      </c>
      <c r="T333" s="145" t="str">
        <f t="shared" si="79"/>
        <v>N.M.</v>
      </c>
      <c r="U333" s="146"/>
      <c r="V333" s="143">
        <v>1721.46</v>
      </c>
      <c r="W333" s="143">
        <v>0</v>
      </c>
      <c r="X333" s="144">
        <f t="shared" si="80"/>
        <v>1721.46</v>
      </c>
      <c r="Y333" s="145" t="str">
        <f t="shared" si="81"/>
        <v>N.M.</v>
      </c>
      <c r="Z333" s="148"/>
      <c r="AA333" s="149">
        <v>0</v>
      </c>
      <c r="AB333" s="150"/>
      <c r="AC333" s="117">
        <v>0</v>
      </c>
      <c r="AD333" s="117">
        <v>0</v>
      </c>
      <c r="AE333" s="117">
        <v>16.149999999999999</v>
      </c>
      <c r="AF333" s="117">
        <v>0</v>
      </c>
      <c r="AG333" s="117">
        <v>0</v>
      </c>
      <c r="AH333" s="117">
        <v>164.45000000000002</v>
      </c>
      <c r="AI333" s="117">
        <v>0</v>
      </c>
      <c r="AJ333" s="117">
        <v>109.18</v>
      </c>
      <c r="AK333" s="117">
        <v>0</v>
      </c>
      <c r="AL333" s="117">
        <v>71.040000000000006</v>
      </c>
      <c r="AM333" s="117">
        <v>0</v>
      </c>
      <c r="AN333" s="117">
        <v>438.44</v>
      </c>
      <c r="AO333" s="150"/>
      <c r="AP333" s="117">
        <v>0</v>
      </c>
      <c r="AQ333" s="117">
        <v>922.2</v>
      </c>
      <c r="AR333" s="117">
        <v>0</v>
      </c>
      <c r="AS333" s="117">
        <v>0</v>
      </c>
      <c r="AT333" s="117">
        <v>0</v>
      </c>
      <c r="AU333" s="117">
        <v>0</v>
      </c>
      <c r="AV333" s="117">
        <v>0</v>
      </c>
      <c r="AW333" s="117">
        <v>0</v>
      </c>
      <c r="AX333" s="117">
        <v>0</v>
      </c>
      <c r="AY333" s="117">
        <v>0</v>
      </c>
      <c r="AZ333" s="117">
        <v>0</v>
      </c>
      <c r="BA333" s="117">
        <v>0</v>
      </c>
    </row>
    <row r="334" spans="1:53" s="138" customFormat="1" outlineLevel="2" x14ac:dyDescent="0.25">
      <c r="A334" s="138" t="s">
        <v>1046</v>
      </c>
      <c r="B334" s="139" t="s">
        <v>1047</v>
      </c>
      <c r="C334" s="140" t="s">
        <v>1048</v>
      </c>
      <c r="D334" s="141"/>
      <c r="E334" s="142"/>
      <c r="F334" s="143">
        <v>2550</v>
      </c>
      <c r="G334" s="143">
        <v>3025</v>
      </c>
      <c r="H334" s="144">
        <f t="shared" si="74"/>
        <v>-475</v>
      </c>
      <c r="I334" s="145">
        <f t="shared" si="75"/>
        <v>-0.15702479338842976</v>
      </c>
      <c r="J334" s="146"/>
      <c r="K334" s="143">
        <v>5099.99</v>
      </c>
      <c r="L334" s="143">
        <v>3025</v>
      </c>
      <c r="M334" s="144">
        <f t="shared" si="76"/>
        <v>2074.9899999999998</v>
      </c>
      <c r="N334" s="145">
        <f t="shared" si="77"/>
        <v>0.68594710743801646</v>
      </c>
      <c r="O334" s="147"/>
      <c r="P334" s="146"/>
      <c r="Q334" s="143">
        <v>10199.99</v>
      </c>
      <c r="R334" s="143">
        <v>3425.01</v>
      </c>
      <c r="S334" s="144">
        <f t="shared" si="78"/>
        <v>6774.98</v>
      </c>
      <c r="T334" s="145">
        <f t="shared" si="79"/>
        <v>1.9780905749180291</v>
      </c>
      <c r="U334" s="146"/>
      <c r="V334" s="143">
        <v>33385.69</v>
      </c>
      <c r="W334" s="143">
        <v>11794.7</v>
      </c>
      <c r="X334" s="144">
        <f t="shared" si="80"/>
        <v>21590.99</v>
      </c>
      <c r="Y334" s="145">
        <f t="shared" si="81"/>
        <v>1.8305671191297785</v>
      </c>
      <c r="Z334" s="148"/>
      <c r="AA334" s="149">
        <v>400.01</v>
      </c>
      <c r="AB334" s="150"/>
      <c r="AC334" s="117">
        <v>0</v>
      </c>
      <c r="AD334" s="117">
        <v>3025</v>
      </c>
      <c r="AE334" s="117">
        <v>3124</v>
      </c>
      <c r="AF334" s="117">
        <v>2679</v>
      </c>
      <c r="AG334" s="117">
        <v>5556.39</v>
      </c>
      <c r="AH334" s="117">
        <v>2849.02</v>
      </c>
      <c r="AI334" s="117">
        <v>2400</v>
      </c>
      <c r="AJ334" s="117">
        <v>2798.9900000000002</v>
      </c>
      <c r="AK334" s="117">
        <v>3149.9300000000003</v>
      </c>
      <c r="AL334" s="117">
        <v>628.37</v>
      </c>
      <c r="AM334" s="117">
        <v>0</v>
      </c>
      <c r="AN334" s="117">
        <v>5100</v>
      </c>
      <c r="AO334" s="150"/>
      <c r="AP334" s="117">
        <v>2549.9900000000002</v>
      </c>
      <c r="AQ334" s="117">
        <v>2550</v>
      </c>
      <c r="AR334" s="117">
        <v>0</v>
      </c>
      <c r="AS334" s="117">
        <v>0</v>
      </c>
      <c r="AT334" s="117">
        <v>0</v>
      </c>
      <c r="AU334" s="117">
        <v>0</v>
      </c>
      <c r="AV334" s="117">
        <v>0</v>
      </c>
      <c r="AW334" s="117">
        <v>0</v>
      </c>
      <c r="AX334" s="117">
        <v>0</v>
      </c>
      <c r="AY334" s="117">
        <v>0</v>
      </c>
      <c r="AZ334" s="117">
        <v>0</v>
      </c>
      <c r="BA334" s="117">
        <v>0</v>
      </c>
    </row>
    <row r="335" spans="1:53" s="138" customFormat="1" outlineLevel="2" x14ac:dyDescent="0.25">
      <c r="A335" s="138" t="s">
        <v>1049</v>
      </c>
      <c r="B335" s="139" t="s">
        <v>1050</v>
      </c>
      <c r="C335" s="140" t="s">
        <v>1051</v>
      </c>
      <c r="D335" s="141"/>
      <c r="E335" s="142"/>
      <c r="F335" s="143">
        <v>0</v>
      </c>
      <c r="G335" s="143">
        <v>0</v>
      </c>
      <c r="H335" s="144">
        <f t="shared" si="74"/>
        <v>0</v>
      </c>
      <c r="I335" s="145">
        <f t="shared" si="75"/>
        <v>0</v>
      </c>
      <c r="J335" s="146"/>
      <c r="K335" s="143">
        <v>0</v>
      </c>
      <c r="L335" s="143">
        <v>0</v>
      </c>
      <c r="M335" s="144">
        <f t="shared" si="76"/>
        <v>0</v>
      </c>
      <c r="N335" s="145">
        <f t="shared" si="77"/>
        <v>0</v>
      </c>
      <c r="O335" s="147"/>
      <c r="P335" s="146"/>
      <c r="Q335" s="143">
        <v>0</v>
      </c>
      <c r="R335" s="143">
        <v>0</v>
      </c>
      <c r="S335" s="144">
        <f t="shared" si="78"/>
        <v>0</v>
      </c>
      <c r="T335" s="145">
        <f t="shared" si="79"/>
        <v>0</v>
      </c>
      <c r="U335" s="146"/>
      <c r="V335" s="143">
        <v>0</v>
      </c>
      <c r="W335" s="143">
        <v>3336.94</v>
      </c>
      <c r="X335" s="144">
        <f t="shared" si="80"/>
        <v>-3336.94</v>
      </c>
      <c r="Y335" s="145" t="str">
        <f t="shared" si="81"/>
        <v>N.M.</v>
      </c>
      <c r="Z335" s="148"/>
      <c r="AA335" s="149">
        <v>0</v>
      </c>
      <c r="AB335" s="150"/>
      <c r="AC335" s="117">
        <v>0</v>
      </c>
      <c r="AD335" s="117">
        <v>0</v>
      </c>
      <c r="AE335" s="117">
        <v>0</v>
      </c>
      <c r="AF335" s="117">
        <v>0</v>
      </c>
      <c r="AG335" s="117">
        <v>0</v>
      </c>
      <c r="AH335" s="117">
        <v>0</v>
      </c>
      <c r="AI335" s="117">
        <v>0</v>
      </c>
      <c r="AJ335" s="117">
        <v>0</v>
      </c>
      <c r="AK335" s="117">
        <v>0</v>
      </c>
      <c r="AL335" s="117">
        <v>0</v>
      </c>
      <c r="AM335" s="117">
        <v>0</v>
      </c>
      <c r="AN335" s="117">
        <v>0</v>
      </c>
      <c r="AO335" s="150"/>
      <c r="AP335" s="117">
        <v>0</v>
      </c>
      <c r="AQ335" s="117">
        <v>0</v>
      </c>
      <c r="AR335" s="117">
        <v>0</v>
      </c>
      <c r="AS335" s="117">
        <v>0</v>
      </c>
      <c r="AT335" s="117">
        <v>0</v>
      </c>
      <c r="AU335" s="117">
        <v>0</v>
      </c>
      <c r="AV335" s="117">
        <v>0</v>
      </c>
      <c r="AW335" s="117">
        <v>0</v>
      </c>
      <c r="AX335" s="117">
        <v>0</v>
      </c>
      <c r="AY335" s="117">
        <v>0</v>
      </c>
      <c r="AZ335" s="117">
        <v>0</v>
      </c>
      <c r="BA335" s="117">
        <v>0</v>
      </c>
    </row>
    <row r="336" spans="1:53" s="138" customFormat="1" outlineLevel="2" x14ac:dyDescent="0.25">
      <c r="A336" s="138" t="s">
        <v>1052</v>
      </c>
      <c r="B336" s="139" t="s">
        <v>1053</v>
      </c>
      <c r="C336" s="140" t="s">
        <v>1054</v>
      </c>
      <c r="D336" s="141"/>
      <c r="E336" s="142"/>
      <c r="F336" s="143">
        <v>0</v>
      </c>
      <c r="G336" s="143">
        <v>0</v>
      </c>
      <c r="H336" s="144">
        <f t="shared" si="74"/>
        <v>0</v>
      </c>
      <c r="I336" s="145">
        <f t="shared" si="75"/>
        <v>0</v>
      </c>
      <c r="J336" s="146"/>
      <c r="K336" s="143">
        <v>0</v>
      </c>
      <c r="L336" s="143">
        <v>0</v>
      </c>
      <c r="M336" s="144">
        <f t="shared" si="76"/>
        <v>0</v>
      </c>
      <c r="N336" s="145">
        <f t="shared" si="77"/>
        <v>0</v>
      </c>
      <c r="O336" s="147"/>
      <c r="P336" s="146"/>
      <c r="Q336" s="143">
        <v>0</v>
      </c>
      <c r="R336" s="143">
        <v>0</v>
      </c>
      <c r="S336" s="144">
        <f t="shared" si="78"/>
        <v>0</v>
      </c>
      <c r="T336" s="145">
        <f t="shared" si="79"/>
        <v>0</v>
      </c>
      <c r="U336" s="146"/>
      <c r="V336" s="143">
        <v>5252.99</v>
      </c>
      <c r="W336" s="143">
        <v>0</v>
      </c>
      <c r="X336" s="144">
        <f t="shared" si="80"/>
        <v>5252.99</v>
      </c>
      <c r="Y336" s="145" t="str">
        <f t="shared" si="81"/>
        <v>N.M.</v>
      </c>
      <c r="Z336" s="148"/>
      <c r="AA336" s="149">
        <v>0</v>
      </c>
      <c r="AB336" s="150"/>
      <c r="AC336" s="117">
        <v>0</v>
      </c>
      <c r="AD336" s="117">
        <v>0</v>
      </c>
      <c r="AE336" s="117">
        <v>0</v>
      </c>
      <c r="AF336" s="117">
        <v>0</v>
      </c>
      <c r="AG336" s="117">
        <v>0</v>
      </c>
      <c r="AH336" s="117">
        <v>0</v>
      </c>
      <c r="AI336" s="117">
        <v>0</v>
      </c>
      <c r="AJ336" s="117">
        <v>0</v>
      </c>
      <c r="AK336" s="117">
        <v>5252.99</v>
      </c>
      <c r="AL336" s="117">
        <v>0</v>
      </c>
      <c r="AM336" s="117">
        <v>0</v>
      </c>
      <c r="AN336" s="117">
        <v>0</v>
      </c>
      <c r="AO336" s="150"/>
      <c r="AP336" s="117">
        <v>0</v>
      </c>
      <c r="AQ336" s="117">
        <v>0</v>
      </c>
      <c r="AR336" s="117">
        <v>0</v>
      </c>
      <c r="AS336" s="117">
        <v>0</v>
      </c>
      <c r="AT336" s="117">
        <v>0</v>
      </c>
      <c r="AU336" s="117">
        <v>0</v>
      </c>
      <c r="AV336" s="117">
        <v>0</v>
      </c>
      <c r="AW336" s="117">
        <v>0</v>
      </c>
      <c r="AX336" s="117">
        <v>0</v>
      </c>
      <c r="AY336" s="117">
        <v>0</v>
      </c>
      <c r="AZ336" s="117">
        <v>0</v>
      </c>
      <c r="BA336" s="117">
        <v>0</v>
      </c>
    </row>
    <row r="337" spans="1:53" s="138" customFormat="1" outlineLevel="2" x14ac:dyDescent="0.25">
      <c r="A337" s="138" t="s">
        <v>1055</v>
      </c>
      <c r="B337" s="139" t="s">
        <v>1056</v>
      </c>
      <c r="C337" s="140" t="s">
        <v>1057</v>
      </c>
      <c r="D337" s="141"/>
      <c r="E337" s="142"/>
      <c r="F337" s="143">
        <v>17.760000000000002</v>
      </c>
      <c r="G337" s="143">
        <v>68.78</v>
      </c>
      <c r="H337" s="144">
        <f t="shared" si="74"/>
        <v>-51.019999999999996</v>
      </c>
      <c r="I337" s="145">
        <f t="shared" si="75"/>
        <v>-0.74178540273335269</v>
      </c>
      <c r="J337" s="146"/>
      <c r="K337" s="143">
        <v>19.79</v>
      </c>
      <c r="L337" s="143">
        <v>68.78</v>
      </c>
      <c r="M337" s="144">
        <f t="shared" si="76"/>
        <v>-48.99</v>
      </c>
      <c r="N337" s="145">
        <f t="shared" si="77"/>
        <v>-0.71227100901424834</v>
      </c>
      <c r="O337" s="147"/>
      <c r="P337" s="146"/>
      <c r="Q337" s="143">
        <v>1894.35</v>
      </c>
      <c r="R337" s="143">
        <v>238.83</v>
      </c>
      <c r="S337" s="144">
        <f t="shared" si="78"/>
        <v>1655.52</v>
      </c>
      <c r="T337" s="145">
        <f t="shared" si="79"/>
        <v>6.9317924883808564</v>
      </c>
      <c r="U337" s="146"/>
      <c r="V337" s="143">
        <v>2376.13</v>
      </c>
      <c r="W337" s="143">
        <v>3681.2100000000005</v>
      </c>
      <c r="X337" s="144">
        <f t="shared" si="80"/>
        <v>-1305.0800000000004</v>
      </c>
      <c r="Y337" s="145">
        <f t="shared" si="81"/>
        <v>-0.35452473507352206</v>
      </c>
      <c r="Z337" s="148"/>
      <c r="AA337" s="149">
        <v>170.05</v>
      </c>
      <c r="AB337" s="150"/>
      <c r="AC337" s="117">
        <v>0</v>
      </c>
      <c r="AD337" s="117">
        <v>68.78</v>
      </c>
      <c r="AE337" s="117">
        <v>76.3</v>
      </c>
      <c r="AF337" s="117">
        <v>0</v>
      </c>
      <c r="AG337" s="117">
        <v>164.41</v>
      </c>
      <c r="AH337" s="117">
        <v>0</v>
      </c>
      <c r="AI337" s="117">
        <v>36.76</v>
      </c>
      <c r="AJ337" s="117">
        <v>44.980000000000004</v>
      </c>
      <c r="AK337" s="117">
        <v>35.08</v>
      </c>
      <c r="AL337" s="117">
        <v>124.25</v>
      </c>
      <c r="AM337" s="117">
        <v>0</v>
      </c>
      <c r="AN337" s="117">
        <v>1874.56</v>
      </c>
      <c r="AO337" s="150"/>
      <c r="AP337" s="117">
        <v>2.0300000000000002</v>
      </c>
      <c r="AQ337" s="117">
        <v>17.760000000000002</v>
      </c>
      <c r="AR337" s="117">
        <v>0</v>
      </c>
      <c r="AS337" s="117">
        <v>0</v>
      </c>
      <c r="AT337" s="117">
        <v>0</v>
      </c>
      <c r="AU337" s="117">
        <v>0</v>
      </c>
      <c r="AV337" s="117">
        <v>0</v>
      </c>
      <c r="AW337" s="117">
        <v>0</v>
      </c>
      <c r="AX337" s="117">
        <v>0</v>
      </c>
      <c r="AY337" s="117">
        <v>0</v>
      </c>
      <c r="AZ337" s="117">
        <v>0</v>
      </c>
      <c r="BA337" s="117">
        <v>0</v>
      </c>
    </row>
    <row r="338" spans="1:53" s="138" customFormat="1" outlineLevel="2" x14ac:dyDescent="0.25">
      <c r="A338" s="138" t="s">
        <v>1058</v>
      </c>
      <c r="B338" s="139" t="s">
        <v>1059</v>
      </c>
      <c r="C338" s="140" t="s">
        <v>1060</v>
      </c>
      <c r="D338" s="141"/>
      <c r="E338" s="142"/>
      <c r="F338" s="143">
        <v>5338.06</v>
      </c>
      <c r="G338" s="143">
        <v>804.66</v>
      </c>
      <c r="H338" s="144">
        <f t="shared" si="74"/>
        <v>4533.4000000000005</v>
      </c>
      <c r="I338" s="145">
        <f t="shared" si="75"/>
        <v>5.6339323440956441</v>
      </c>
      <c r="J338" s="146"/>
      <c r="K338" s="143">
        <v>5968.88</v>
      </c>
      <c r="L338" s="143">
        <v>1421.88</v>
      </c>
      <c r="M338" s="144">
        <f t="shared" si="76"/>
        <v>4547</v>
      </c>
      <c r="N338" s="145">
        <f t="shared" si="77"/>
        <v>3.1978788646017944</v>
      </c>
      <c r="O338" s="147"/>
      <c r="P338" s="146"/>
      <c r="Q338" s="143">
        <v>21710.59</v>
      </c>
      <c r="R338" s="143">
        <v>21310.95</v>
      </c>
      <c r="S338" s="144">
        <f t="shared" si="78"/>
        <v>399.63999999999942</v>
      </c>
      <c r="T338" s="145">
        <f t="shared" si="79"/>
        <v>1.8752800790204069E-2</v>
      </c>
      <c r="U338" s="146"/>
      <c r="V338" s="143">
        <v>81748.280000000013</v>
      </c>
      <c r="W338" s="143">
        <v>70848.070000000007</v>
      </c>
      <c r="X338" s="144">
        <f t="shared" si="80"/>
        <v>10900.210000000006</v>
      </c>
      <c r="Y338" s="145">
        <f t="shared" si="81"/>
        <v>0.1538533089186481</v>
      </c>
      <c r="Z338" s="148"/>
      <c r="AA338" s="149">
        <v>19889.07</v>
      </c>
      <c r="AB338" s="150"/>
      <c r="AC338" s="117">
        <v>617.22</v>
      </c>
      <c r="AD338" s="117">
        <v>804.66</v>
      </c>
      <c r="AE338" s="117">
        <v>8406.08</v>
      </c>
      <c r="AF338" s="117">
        <v>944.42000000000007</v>
      </c>
      <c r="AG338" s="117">
        <v>686.45</v>
      </c>
      <c r="AH338" s="117">
        <v>3629.85</v>
      </c>
      <c r="AI338" s="117">
        <v>14252.5</v>
      </c>
      <c r="AJ338" s="117">
        <v>5197.47</v>
      </c>
      <c r="AK338" s="117">
        <v>5309.24</v>
      </c>
      <c r="AL338" s="117">
        <v>16690.64</v>
      </c>
      <c r="AM338" s="117">
        <v>4921.04</v>
      </c>
      <c r="AN338" s="117">
        <v>15741.710000000001</v>
      </c>
      <c r="AO338" s="150"/>
      <c r="AP338" s="117">
        <v>630.82000000000005</v>
      </c>
      <c r="AQ338" s="117">
        <v>5338.06</v>
      </c>
      <c r="AR338" s="117">
        <v>0</v>
      </c>
      <c r="AS338" s="117">
        <v>0</v>
      </c>
      <c r="AT338" s="117">
        <v>0</v>
      </c>
      <c r="AU338" s="117">
        <v>0</v>
      </c>
      <c r="AV338" s="117">
        <v>0</v>
      </c>
      <c r="AW338" s="117">
        <v>0</v>
      </c>
      <c r="AX338" s="117">
        <v>0</v>
      </c>
      <c r="AY338" s="117">
        <v>0</v>
      </c>
      <c r="AZ338" s="117">
        <v>0</v>
      </c>
      <c r="BA338" s="117">
        <v>0</v>
      </c>
    </row>
    <row r="339" spans="1:53" s="138" customFormat="1" outlineLevel="2" x14ac:dyDescent="0.25">
      <c r="A339" s="138" t="s">
        <v>1061</v>
      </c>
      <c r="B339" s="139" t="s">
        <v>1062</v>
      </c>
      <c r="C339" s="140" t="s">
        <v>1063</v>
      </c>
      <c r="D339" s="141"/>
      <c r="E339" s="142"/>
      <c r="F339" s="143">
        <v>0</v>
      </c>
      <c r="G339" s="143">
        <v>0</v>
      </c>
      <c r="H339" s="144">
        <f t="shared" si="74"/>
        <v>0</v>
      </c>
      <c r="I339" s="145">
        <f t="shared" si="75"/>
        <v>0</v>
      </c>
      <c r="J339" s="146"/>
      <c r="K339" s="143">
        <v>-954.24</v>
      </c>
      <c r="L339" s="143">
        <v>0</v>
      </c>
      <c r="M339" s="144">
        <f t="shared" si="76"/>
        <v>-954.24</v>
      </c>
      <c r="N339" s="145" t="str">
        <f t="shared" si="77"/>
        <v>N.M.</v>
      </c>
      <c r="O339" s="147"/>
      <c r="P339" s="146"/>
      <c r="Q339" s="143">
        <v>0</v>
      </c>
      <c r="R339" s="143">
        <v>0</v>
      </c>
      <c r="S339" s="144">
        <f t="shared" si="78"/>
        <v>0</v>
      </c>
      <c r="T339" s="145">
        <f t="shared" si="79"/>
        <v>0</v>
      </c>
      <c r="U339" s="146"/>
      <c r="V339" s="143">
        <v>0</v>
      </c>
      <c r="W339" s="143">
        <v>0</v>
      </c>
      <c r="X339" s="144">
        <f t="shared" si="80"/>
        <v>0</v>
      </c>
      <c r="Y339" s="145">
        <f t="shared" si="81"/>
        <v>0</v>
      </c>
      <c r="Z339" s="148"/>
      <c r="AA339" s="149">
        <v>0</v>
      </c>
      <c r="AB339" s="150"/>
      <c r="AC339" s="117">
        <v>0</v>
      </c>
      <c r="AD339" s="117">
        <v>0</v>
      </c>
      <c r="AE339" s="117">
        <v>0</v>
      </c>
      <c r="AF339" s="117">
        <v>0</v>
      </c>
      <c r="AG339" s="117">
        <v>0</v>
      </c>
      <c r="AH339" s="117">
        <v>0</v>
      </c>
      <c r="AI339" s="117">
        <v>0</v>
      </c>
      <c r="AJ339" s="117">
        <v>0</v>
      </c>
      <c r="AK339" s="117">
        <v>0</v>
      </c>
      <c r="AL339" s="117">
        <v>0</v>
      </c>
      <c r="AM339" s="117">
        <v>0</v>
      </c>
      <c r="AN339" s="117">
        <v>954.24</v>
      </c>
      <c r="AO339" s="150"/>
      <c r="AP339" s="117">
        <v>-954.24</v>
      </c>
      <c r="AQ339" s="117">
        <v>0</v>
      </c>
      <c r="AR339" s="117">
        <v>0</v>
      </c>
      <c r="AS339" s="117">
        <v>0</v>
      </c>
      <c r="AT339" s="117">
        <v>0</v>
      </c>
      <c r="AU339" s="117">
        <v>0</v>
      </c>
      <c r="AV339" s="117">
        <v>0</v>
      </c>
      <c r="AW339" s="117">
        <v>0</v>
      </c>
      <c r="AX339" s="117">
        <v>0</v>
      </c>
      <c r="AY339" s="117">
        <v>0</v>
      </c>
      <c r="AZ339" s="117">
        <v>0</v>
      </c>
      <c r="BA339" s="117">
        <v>0</v>
      </c>
    </row>
    <row r="340" spans="1:53" s="138" customFormat="1" outlineLevel="2" x14ac:dyDescent="0.25">
      <c r="A340" s="138" t="s">
        <v>1064</v>
      </c>
      <c r="B340" s="139" t="s">
        <v>1065</v>
      </c>
      <c r="C340" s="140" t="s">
        <v>1066</v>
      </c>
      <c r="D340" s="141"/>
      <c r="E340" s="142"/>
      <c r="F340" s="143">
        <v>470.84000000000003</v>
      </c>
      <c r="G340" s="143">
        <v>1953.47</v>
      </c>
      <c r="H340" s="144">
        <f t="shared" si="74"/>
        <v>-1482.63</v>
      </c>
      <c r="I340" s="145">
        <f t="shared" si="75"/>
        <v>-0.75897249509846587</v>
      </c>
      <c r="J340" s="146"/>
      <c r="K340" s="143">
        <v>4253.3900000000003</v>
      </c>
      <c r="L340" s="143">
        <v>6904.79</v>
      </c>
      <c r="M340" s="144">
        <f t="shared" si="76"/>
        <v>-2651.3999999999996</v>
      </c>
      <c r="N340" s="145">
        <f t="shared" si="77"/>
        <v>-0.38399429960940151</v>
      </c>
      <c r="O340" s="147"/>
      <c r="P340" s="146"/>
      <c r="Q340" s="143">
        <v>5912.01</v>
      </c>
      <c r="R340" s="143">
        <v>7239.68</v>
      </c>
      <c r="S340" s="144">
        <f t="shared" si="78"/>
        <v>-1327.67</v>
      </c>
      <c r="T340" s="145">
        <f t="shared" si="79"/>
        <v>-0.18338793979844414</v>
      </c>
      <c r="U340" s="146"/>
      <c r="V340" s="143">
        <v>18190.420000000002</v>
      </c>
      <c r="W340" s="143">
        <v>21236.07</v>
      </c>
      <c r="X340" s="144">
        <f t="shared" si="80"/>
        <v>-3045.6499999999978</v>
      </c>
      <c r="Y340" s="145">
        <f t="shared" si="81"/>
        <v>-0.14341872107221335</v>
      </c>
      <c r="Z340" s="148"/>
      <c r="AA340" s="149">
        <v>334.89</v>
      </c>
      <c r="AB340" s="150"/>
      <c r="AC340" s="117">
        <v>4951.32</v>
      </c>
      <c r="AD340" s="117">
        <v>1953.47</v>
      </c>
      <c r="AE340" s="117">
        <v>204.38</v>
      </c>
      <c r="AF340" s="117">
        <v>131.94999999999999</v>
      </c>
      <c r="AG340" s="117">
        <v>8308.0499999999993</v>
      </c>
      <c r="AH340" s="117">
        <v>312.34000000000003</v>
      </c>
      <c r="AI340" s="117">
        <v>30.04</v>
      </c>
      <c r="AJ340" s="117">
        <v>228.48000000000002</v>
      </c>
      <c r="AK340" s="117">
        <v>231.70000000000002</v>
      </c>
      <c r="AL340" s="117">
        <v>438.09000000000003</v>
      </c>
      <c r="AM340" s="117">
        <v>2393.38</v>
      </c>
      <c r="AN340" s="117">
        <v>1658.6200000000001</v>
      </c>
      <c r="AO340" s="150"/>
      <c r="AP340" s="117">
        <v>3782.55</v>
      </c>
      <c r="AQ340" s="117">
        <v>470.84000000000003</v>
      </c>
      <c r="AR340" s="117">
        <v>0</v>
      </c>
      <c r="AS340" s="117">
        <v>0</v>
      </c>
      <c r="AT340" s="117">
        <v>0</v>
      </c>
      <c r="AU340" s="117">
        <v>0</v>
      </c>
      <c r="AV340" s="117">
        <v>0</v>
      </c>
      <c r="AW340" s="117">
        <v>0</v>
      </c>
      <c r="AX340" s="117">
        <v>0</v>
      </c>
      <c r="AY340" s="117">
        <v>0</v>
      </c>
      <c r="AZ340" s="117">
        <v>0</v>
      </c>
      <c r="BA340" s="117">
        <v>0</v>
      </c>
    </row>
    <row r="341" spans="1:53" s="138" customFormat="1" outlineLevel="2" x14ac:dyDescent="0.25">
      <c r="A341" s="138" t="s">
        <v>1067</v>
      </c>
      <c r="B341" s="139" t="s">
        <v>1068</v>
      </c>
      <c r="C341" s="140" t="s">
        <v>1069</v>
      </c>
      <c r="D341" s="141"/>
      <c r="E341" s="142"/>
      <c r="F341" s="143">
        <v>13603.65</v>
      </c>
      <c r="G341" s="143">
        <v>1039.07</v>
      </c>
      <c r="H341" s="144">
        <f t="shared" si="74"/>
        <v>12564.58</v>
      </c>
      <c r="I341" s="145" t="str">
        <f t="shared" si="75"/>
        <v>N.M.</v>
      </c>
      <c r="J341" s="146"/>
      <c r="K341" s="143">
        <v>97293.14</v>
      </c>
      <c r="L341" s="143">
        <v>78922.430000000008</v>
      </c>
      <c r="M341" s="144">
        <f t="shared" si="76"/>
        <v>18370.709999999992</v>
      </c>
      <c r="N341" s="145">
        <f t="shared" si="77"/>
        <v>0.23276918868311569</v>
      </c>
      <c r="O341" s="147"/>
      <c r="P341" s="146"/>
      <c r="Q341" s="143">
        <v>137147.56</v>
      </c>
      <c r="R341" s="143">
        <v>98165.73000000001</v>
      </c>
      <c r="S341" s="144">
        <f t="shared" si="78"/>
        <v>38981.829999999987</v>
      </c>
      <c r="T341" s="145">
        <f t="shared" si="79"/>
        <v>0.39710222701955133</v>
      </c>
      <c r="U341" s="146"/>
      <c r="V341" s="143">
        <v>250083.94</v>
      </c>
      <c r="W341" s="143">
        <v>169888.88</v>
      </c>
      <c r="X341" s="144">
        <f t="shared" si="80"/>
        <v>80195.06</v>
      </c>
      <c r="Y341" s="145">
        <f t="shared" si="81"/>
        <v>0.47204419736006265</v>
      </c>
      <c r="Z341" s="148"/>
      <c r="AA341" s="149">
        <v>19243.3</v>
      </c>
      <c r="AB341" s="150"/>
      <c r="AC341" s="117">
        <v>77883.360000000001</v>
      </c>
      <c r="AD341" s="117">
        <v>1039.07</v>
      </c>
      <c r="AE341" s="117">
        <v>3915.82</v>
      </c>
      <c r="AF341" s="117">
        <v>2090.46</v>
      </c>
      <c r="AG341" s="117">
        <v>117109.36</v>
      </c>
      <c r="AH341" s="117">
        <v>-78004.680000000008</v>
      </c>
      <c r="AI341" s="117">
        <v>19527.64</v>
      </c>
      <c r="AJ341" s="117">
        <v>12670.08</v>
      </c>
      <c r="AK341" s="117">
        <v>12909.86</v>
      </c>
      <c r="AL341" s="117">
        <v>12383.37</v>
      </c>
      <c r="AM341" s="117">
        <v>10334.469999999999</v>
      </c>
      <c r="AN341" s="117">
        <v>39854.42</v>
      </c>
      <c r="AO341" s="150"/>
      <c r="AP341" s="117">
        <v>83689.490000000005</v>
      </c>
      <c r="AQ341" s="117">
        <v>13603.65</v>
      </c>
      <c r="AR341" s="117">
        <v>-227.54</v>
      </c>
      <c r="AS341" s="117">
        <v>0</v>
      </c>
      <c r="AT341" s="117">
        <v>0</v>
      </c>
      <c r="AU341" s="117">
        <v>0</v>
      </c>
      <c r="AV341" s="117">
        <v>0</v>
      </c>
      <c r="AW341" s="117">
        <v>0</v>
      </c>
      <c r="AX341" s="117">
        <v>0</v>
      </c>
      <c r="AY341" s="117">
        <v>0</v>
      </c>
      <c r="AZ341" s="117">
        <v>0</v>
      </c>
      <c r="BA341" s="117">
        <v>0</v>
      </c>
    </row>
    <row r="342" spans="1:53" s="138" customFormat="1" outlineLevel="2" x14ac:dyDescent="0.25">
      <c r="A342" s="138" t="s">
        <v>1070</v>
      </c>
      <c r="B342" s="139" t="s">
        <v>1071</v>
      </c>
      <c r="C342" s="140" t="s">
        <v>1072</v>
      </c>
      <c r="D342" s="141"/>
      <c r="E342" s="142"/>
      <c r="F342" s="143">
        <v>405.40100000000001</v>
      </c>
      <c r="G342" s="143">
        <v>1493.52</v>
      </c>
      <c r="H342" s="144">
        <f t="shared" si="74"/>
        <v>-1088.1189999999999</v>
      </c>
      <c r="I342" s="145">
        <f t="shared" si="75"/>
        <v>-0.72856004606567026</v>
      </c>
      <c r="J342" s="146"/>
      <c r="K342" s="143">
        <v>7284.7580000000007</v>
      </c>
      <c r="L342" s="143">
        <v>4068.1780000000003</v>
      </c>
      <c r="M342" s="144">
        <f t="shared" si="76"/>
        <v>3216.5800000000004</v>
      </c>
      <c r="N342" s="145">
        <f t="shared" si="77"/>
        <v>0.7906684515770942</v>
      </c>
      <c r="O342" s="147"/>
      <c r="P342" s="146"/>
      <c r="Q342" s="143">
        <v>8971.8690000000006</v>
      </c>
      <c r="R342" s="143">
        <v>4986.1760000000004</v>
      </c>
      <c r="S342" s="144">
        <f t="shared" si="78"/>
        <v>3985.6930000000002</v>
      </c>
      <c r="T342" s="145">
        <f t="shared" si="79"/>
        <v>0.79934863911743181</v>
      </c>
      <c r="U342" s="146"/>
      <c r="V342" s="143">
        <v>26641.232000000004</v>
      </c>
      <c r="W342" s="143">
        <v>22574.07</v>
      </c>
      <c r="X342" s="144">
        <f t="shared" si="80"/>
        <v>4067.1620000000039</v>
      </c>
      <c r="Y342" s="145">
        <f t="shared" si="81"/>
        <v>0.18016963711018899</v>
      </c>
      <c r="Z342" s="148"/>
      <c r="AA342" s="149">
        <v>917.99800000000005</v>
      </c>
      <c r="AB342" s="150"/>
      <c r="AC342" s="117">
        <v>2574.6579999999999</v>
      </c>
      <c r="AD342" s="117">
        <v>1493.52</v>
      </c>
      <c r="AE342" s="117">
        <v>767.072</v>
      </c>
      <c r="AF342" s="117">
        <v>-85.02</v>
      </c>
      <c r="AG342" s="117">
        <v>412.83600000000001</v>
      </c>
      <c r="AH342" s="117">
        <v>-29.515000000000001</v>
      </c>
      <c r="AI342" s="117">
        <v>644.34199999999998</v>
      </c>
      <c r="AJ342" s="117">
        <v>442.78700000000003</v>
      </c>
      <c r="AK342" s="117">
        <v>9258.9719999999998</v>
      </c>
      <c r="AL342" s="117">
        <v>4209.4170000000004</v>
      </c>
      <c r="AM342" s="117">
        <v>2048.4720000000002</v>
      </c>
      <c r="AN342" s="117">
        <v>1687.1110000000001</v>
      </c>
      <c r="AO342" s="150"/>
      <c r="AP342" s="117">
        <v>6879.357</v>
      </c>
      <c r="AQ342" s="117">
        <v>405.40100000000001</v>
      </c>
      <c r="AR342" s="117">
        <v>0</v>
      </c>
      <c r="AS342" s="117">
        <v>0</v>
      </c>
      <c r="AT342" s="117">
        <v>0</v>
      </c>
      <c r="AU342" s="117">
        <v>0</v>
      </c>
      <c r="AV342" s="117">
        <v>0</v>
      </c>
      <c r="AW342" s="117">
        <v>0</v>
      </c>
      <c r="AX342" s="117">
        <v>0</v>
      </c>
      <c r="AY342" s="117">
        <v>0</v>
      </c>
      <c r="AZ342" s="117">
        <v>0</v>
      </c>
      <c r="BA342" s="117">
        <v>0</v>
      </c>
    </row>
    <row r="343" spans="1:53" s="138" customFormat="1" outlineLevel="2" x14ac:dyDescent="0.25">
      <c r="A343" s="138" t="s">
        <v>1073</v>
      </c>
      <c r="B343" s="139" t="s">
        <v>1074</v>
      </c>
      <c r="C343" s="140" t="s">
        <v>1075</v>
      </c>
      <c r="D343" s="141"/>
      <c r="E343" s="142"/>
      <c r="F343" s="143">
        <v>13.05</v>
      </c>
      <c r="G343" s="143">
        <v>43.24</v>
      </c>
      <c r="H343" s="144">
        <f t="shared" si="74"/>
        <v>-30.19</v>
      </c>
      <c r="I343" s="145">
        <f t="shared" si="75"/>
        <v>-0.6981961147086031</v>
      </c>
      <c r="J343" s="146"/>
      <c r="K343" s="143">
        <v>38.76</v>
      </c>
      <c r="L343" s="143">
        <v>38.22</v>
      </c>
      <c r="M343" s="144">
        <f t="shared" si="76"/>
        <v>0.53999999999999915</v>
      </c>
      <c r="N343" s="145">
        <f t="shared" si="77"/>
        <v>1.4128728414442678E-2</v>
      </c>
      <c r="O343" s="147"/>
      <c r="P343" s="146"/>
      <c r="Q343" s="143">
        <v>4.7299999999999969</v>
      </c>
      <c r="R343" s="143">
        <v>75.539999999999992</v>
      </c>
      <c r="S343" s="144">
        <f t="shared" si="78"/>
        <v>-70.81</v>
      </c>
      <c r="T343" s="145">
        <f t="shared" si="79"/>
        <v>-0.93738416732856777</v>
      </c>
      <c r="U343" s="146"/>
      <c r="V343" s="143">
        <v>870.86</v>
      </c>
      <c r="W343" s="143">
        <v>2236.1299999999997</v>
      </c>
      <c r="X343" s="144">
        <f t="shared" si="80"/>
        <v>-1365.2699999999995</v>
      </c>
      <c r="Y343" s="145">
        <f t="shared" si="81"/>
        <v>-0.61055037050618688</v>
      </c>
      <c r="Z343" s="148"/>
      <c r="AA343" s="149">
        <v>37.32</v>
      </c>
      <c r="AB343" s="150"/>
      <c r="AC343" s="117">
        <v>-5.0200000000000005</v>
      </c>
      <c r="AD343" s="117">
        <v>43.24</v>
      </c>
      <c r="AE343" s="117">
        <v>-0.65</v>
      </c>
      <c r="AF343" s="117">
        <v>-1.69</v>
      </c>
      <c r="AG343" s="117">
        <v>0</v>
      </c>
      <c r="AH343" s="117">
        <v>0</v>
      </c>
      <c r="AI343" s="117">
        <v>24.72</v>
      </c>
      <c r="AJ343" s="117">
        <v>29.78</v>
      </c>
      <c r="AK343" s="117">
        <v>168.17000000000002</v>
      </c>
      <c r="AL343" s="117">
        <v>351.27</v>
      </c>
      <c r="AM343" s="117">
        <v>294.53000000000003</v>
      </c>
      <c r="AN343" s="117">
        <v>-34.03</v>
      </c>
      <c r="AO343" s="150"/>
      <c r="AP343" s="117">
        <v>25.71</v>
      </c>
      <c r="AQ343" s="117">
        <v>13.05</v>
      </c>
      <c r="AR343" s="117">
        <v>0</v>
      </c>
      <c r="AS343" s="117">
        <v>0</v>
      </c>
      <c r="AT343" s="117">
        <v>0</v>
      </c>
      <c r="AU343" s="117">
        <v>0</v>
      </c>
      <c r="AV343" s="117">
        <v>0</v>
      </c>
      <c r="AW343" s="117">
        <v>0</v>
      </c>
      <c r="AX343" s="117">
        <v>0</v>
      </c>
      <c r="AY343" s="117">
        <v>0</v>
      </c>
      <c r="AZ343" s="117">
        <v>0</v>
      </c>
      <c r="BA343" s="117">
        <v>0</v>
      </c>
    </row>
    <row r="344" spans="1:53" s="138" customFormat="1" outlineLevel="2" x14ac:dyDescent="0.25">
      <c r="A344" s="138" t="s">
        <v>1076</v>
      </c>
      <c r="B344" s="139" t="s">
        <v>1077</v>
      </c>
      <c r="C344" s="140" t="s">
        <v>1078</v>
      </c>
      <c r="D344" s="141"/>
      <c r="E344" s="142"/>
      <c r="F344" s="143">
        <v>0</v>
      </c>
      <c r="G344" s="143">
        <v>138.11000000000001</v>
      </c>
      <c r="H344" s="144">
        <f t="shared" si="74"/>
        <v>-138.11000000000001</v>
      </c>
      <c r="I344" s="145" t="str">
        <f t="shared" si="75"/>
        <v>N.M.</v>
      </c>
      <c r="J344" s="146"/>
      <c r="K344" s="143">
        <v>832.97</v>
      </c>
      <c r="L344" s="143">
        <v>138.11000000000001</v>
      </c>
      <c r="M344" s="144">
        <f t="shared" si="76"/>
        <v>694.86</v>
      </c>
      <c r="N344" s="145">
        <f t="shared" si="77"/>
        <v>5.0312070089059437</v>
      </c>
      <c r="O344" s="147"/>
      <c r="P344" s="146"/>
      <c r="Q344" s="143">
        <v>972.81000000000006</v>
      </c>
      <c r="R344" s="143">
        <v>138.11000000000001</v>
      </c>
      <c r="S344" s="144">
        <f t="shared" si="78"/>
        <v>834.7</v>
      </c>
      <c r="T344" s="145">
        <f t="shared" si="79"/>
        <v>6.0437332561002099</v>
      </c>
      <c r="U344" s="146"/>
      <c r="V344" s="143">
        <v>19366.070000000003</v>
      </c>
      <c r="W344" s="143">
        <v>8940</v>
      </c>
      <c r="X344" s="144">
        <f t="shared" si="80"/>
        <v>10426.070000000003</v>
      </c>
      <c r="Y344" s="145">
        <f t="shared" si="81"/>
        <v>1.1662270693512309</v>
      </c>
      <c r="Z344" s="148"/>
      <c r="AA344" s="149">
        <v>0</v>
      </c>
      <c r="AB344" s="150"/>
      <c r="AC344" s="117">
        <v>0</v>
      </c>
      <c r="AD344" s="117">
        <v>138.11000000000001</v>
      </c>
      <c r="AE344" s="117">
        <v>1635</v>
      </c>
      <c r="AF344" s="117">
        <v>388.23</v>
      </c>
      <c r="AG344" s="117">
        <v>0</v>
      </c>
      <c r="AH344" s="117">
        <v>12387.2</v>
      </c>
      <c r="AI344" s="117">
        <v>2180.83</v>
      </c>
      <c r="AJ344" s="117">
        <v>173.04</v>
      </c>
      <c r="AK344" s="117">
        <v>216.04</v>
      </c>
      <c r="AL344" s="117">
        <v>0</v>
      </c>
      <c r="AM344" s="117">
        <v>1412.92</v>
      </c>
      <c r="AN344" s="117">
        <v>139.84</v>
      </c>
      <c r="AO344" s="150"/>
      <c r="AP344" s="117">
        <v>832.97</v>
      </c>
      <c r="AQ344" s="117">
        <v>0</v>
      </c>
      <c r="AR344" s="117">
        <v>0</v>
      </c>
      <c r="AS344" s="117">
        <v>0</v>
      </c>
      <c r="AT344" s="117">
        <v>0</v>
      </c>
      <c r="AU344" s="117">
        <v>0</v>
      </c>
      <c r="AV344" s="117">
        <v>0</v>
      </c>
      <c r="AW344" s="117">
        <v>0</v>
      </c>
      <c r="AX344" s="117">
        <v>0</v>
      </c>
      <c r="AY344" s="117">
        <v>0</v>
      </c>
      <c r="AZ344" s="117">
        <v>0</v>
      </c>
      <c r="BA344" s="117">
        <v>0</v>
      </c>
    </row>
    <row r="345" spans="1:53" s="138" customFormat="1" outlineLevel="2" x14ac:dyDescent="0.25">
      <c r="A345" s="138" t="s">
        <v>1079</v>
      </c>
      <c r="B345" s="139" t="s">
        <v>1080</v>
      </c>
      <c r="C345" s="140" t="s">
        <v>1081</v>
      </c>
      <c r="D345" s="141"/>
      <c r="E345" s="142"/>
      <c r="F345" s="143">
        <v>2994.65</v>
      </c>
      <c r="G345" s="143">
        <v>16729.330000000002</v>
      </c>
      <c r="H345" s="144">
        <f t="shared" si="74"/>
        <v>-13734.680000000002</v>
      </c>
      <c r="I345" s="145">
        <f t="shared" si="75"/>
        <v>-0.82099402665856913</v>
      </c>
      <c r="J345" s="146"/>
      <c r="K345" s="143">
        <v>12201.24</v>
      </c>
      <c r="L345" s="143">
        <v>23112.99</v>
      </c>
      <c r="M345" s="144">
        <f t="shared" si="76"/>
        <v>-10911.750000000002</v>
      </c>
      <c r="N345" s="145">
        <f t="shared" si="77"/>
        <v>-0.47210464764619381</v>
      </c>
      <c r="O345" s="147"/>
      <c r="P345" s="146"/>
      <c r="Q345" s="143">
        <v>3245.7899999999991</v>
      </c>
      <c r="R345" s="143">
        <v>25850.5</v>
      </c>
      <c r="S345" s="144">
        <f t="shared" si="78"/>
        <v>-22604.71</v>
      </c>
      <c r="T345" s="145">
        <f t="shared" si="79"/>
        <v>-0.87443995280555498</v>
      </c>
      <c r="U345" s="146"/>
      <c r="V345" s="143">
        <v>204164.47999999998</v>
      </c>
      <c r="W345" s="143">
        <v>124967.40000000001</v>
      </c>
      <c r="X345" s="144">
        <f t="shared" si="80"/>
        <v>79197.079999999973</v>
      </c>
      <c r="Y345" s="145">
        <f t="shared" si="81"/>
        <v>0.63374191989270778</v>
      </c>
      <c r="Z345" s="148"/>
      <c r="AA345" s="149">
        <v>2737.51</v>
      </c>
      <c r="AB345" s="150"/>
      <c r="AC345" s="117">
        <v>6383.66</v>
      </c>
      <c r="AD345" s="117">
        <v>16729.330000000002</v>
      </c>
      <c r="AE345" s="117">
        <v>6190.04</v>
      </c>
      <c r="AF345" s="117">
        <v>7338.1500000000005</v>
      </c>
      <c r="AG345" s="117">
        <v>2020.13</v>
      </c>
      <c r="AH345" s="117">
        <v>5576.57</v>
      </c>
      <c r="AI345" s="117">
        <v>15068.02</v>
      </c>
      <c r="AJ345" s="117">
        <v>1154.1300000000001</v>
      </c>
      <c r="AK345" s="117">
        <v>5515.16</v>
      </c>
      <c r="AL345" s="117">
        <v>83703.69</v>
      </c>
      <c r="AM345" s="117">
        <v>74352.800000000003</v>
      </c>
      <c r="AN345" s="117">
        <v>-8955.4500000000007</v>
      </c>
      <c r="AO345" s="150"/>
      <c r="AP345" s="117">
        <v>9206.59</v>
      </c>
      <c r="AQ345" s="117">
        <v>2994.65</v>
      </c>
      <c r="AR345" s="117">
        <v>-437.42</v>
      </c>
      <c r="AS345" s="117">
        <v>0</v>
      </c>
      <c r="AT345" s="117">
        <v>0</v>
      </c>
      <c r="AU345" s="117">
        <v>0</v>
      </c>
      <c r="AV345" s="117">
        <v>0</v>
      </c>
      <c r="AW345" s="117">
        <v>0</v>
      </c>
      <c r="AX345" s="117">
        <v>0</v>
      </c>
      <c r="AY345" s="117">
        <v>0</v>
      </c>
      <c r="AZ345" s="117">
        <v>0</v>
      </c>
      <c r="BA345" s="117">
        <v>0</v>
      </c>
    </row>
    <row r="346" spans="1:53" s="138" customFormat="1" outlineLevel="2" x14ac:dyDescent="0.25">
      <c r="A346" s="138" t="s">
        <v>1082</v>
      </c>
      <c r="B346" s="139" t="s">
        <v>1083</v>
      </c>
      <c r="C346" s="140" t="s">
        <v>1084</v>
      </c>
      <c r="D346" s="141"/>
      <c r="E346" s="142"/>
      <c r="F346" s="143">
        <v>0</v>
      </c>
      <c r="G346" s="143">
        <v>0</v>
      </c>
      <c r="H346" s="144">
        <f t="shared" si="74"/>
        <v>0</v>
      </c>
      <c r="I346" s="145">
        <f t="shared" si="75"/>
        <v>0</v>
      </c>
      <c r="J346" s="146"/>
      <c r="K346" s="143">
        <v>0</v>
      </c>
      <c r="L346" s="143">
        <v>0.01</v>
      </c>
      <c r="M346" s="144">
        <f t="shared" si="76"/>
        <v>-0.01</v>
      </c>
      <c r="N346" s="145" t="str">
        <f t="shared" si="77"/>
        <v>N.M.</v>
      </c>
      <c r="O346" s="147"/>
      <c r="P346" s="146"/>
      <c r="Q346" s="143">
        <v>0</v>
      </c>
      <c r="R346" s="143">
        <v>-0.16</v>
      </c>
      <c r="S346" s="144">
        <f t="shared" si="78"/>
        <v>0.16</v>
      </c>
      <c r="T346" s="145" t="str">
        <f t="shared" si="79"/>
        <v>N.M.</v>
      </c>
      <c r="U346" s="146"/>
      <c r="V346" s="143">
        <v>-0.01</v>
      </c>
      <c r="W346" s="143">
        <v>0.08</v>
      </c>
      <c r="X346" s="144">
        <f t="shared" si="80"/>
        <v>-0.09</v>
      </c>
      <c r="Y346" s="145">
        <f t="shared" si="81"/>
        <v>-1.125</v>
      </c>
      <c r="Z346" s="148"/>
      <c r="AA346" s="149">
        <v>-0.17</v>
      </c>
      <c r="AB346" s="150"/>
      <c r="AC346" s="117">
        <v>0.01</v>
      </c>
      <c r="AD346" s="117">
        <v>0</v>
      </c>
      <c r="AE346" s="117">
        <v>0.02</v>
      </c>
      <c r="AF346" s="117">
        <v>0.02</v>
      </c>
      <c r="AG346" s="117">
        <v>0.02</v>
      </c>
      <c r="AH346" s="117">
        <v>0</v>
      </c>
      <c r="AI346" s="117">
        <v>0</v>
      </c>
      <c r="AJ346" s="117">
        <v>0</v>
      </c>
      <c r="AK346" s="117">
        <v>-7.0000000000000007E-2</v>
      </c>
      <c r="AL346" s="117">
        <v>0</v>
      </c>
      <c r="AM346" s="117">
        <v>0</v>
      </c>
      <c r="AN346" s="117">
        <v>0</v>
      </c>
      <c r="AO346" s="150"/>
      <c r="AP346" s="117">
        <v>0</v>
      </c>
      <c r="AQ346" s="117">
        <v>0</v>
      </c>
      <c r="AR346" s="117">
        <v>0</v>
      </c>
      <c r="AS346" s="117">
        <v>0</v>
      </c>
      <c r="AT346" s="117">
        <v>0</v>
      </c>
      <c r="AU346" s="117">
        <v>0</v>
      </c>
      <c r="AV346" s="117">
        <v>0</v>
      </c>
      <c r="AW346" s="117">
        <v>0</v>
      </c>
      <c r="AX346" s="117">
        <v>0</v>
      </c>
      <c r="AY346" s="117">
        <v>0</v>
      </c>
      <c r="AZ346" s="117">
        <v>0</v>
      </c>
      <c r="BA346" s="117">
        <v>0</v>
      </c>
    </row>
    <row r="347" spans="1:53" s="138" customFormat="1" outlineLevel="2" x14ac:dyDescent="0.25">
      <c r="A347" s="138" t="s">
        <v>1085</v>
      </c>
      <c r="B347" s="139" t="s">
        <v>1086</v>
      </c>
      <c r="C347" s="140" t="s">
        <v>1087</v>
      </c>
      <c r="D347" s="141"/>
      <c r="E347" s="142"/>
      <c r="F347" s="143">
        <v>0</v>
      </c>
      <c r="G347" s="143">
        <v>0</v>
      </c>
      <c r="H347" s="144">
        <f t="shared" si="74"/>
        <v>0</v>
      </c>
      <c r="I347" s="145">
        <f t="shared" si="75"/>
        <v>0</v>
      </c>
      <c r="J347" s="146"/>
      <c r="K347" s="143">
        <v>0</v>
      </c>
      <c r="L347" s="143">
        <v>0</v>
      </c>
      <c r="M347" s="144">
        <f t="shared" si="76"/>
        <v>0</v>
      </c>
      <c r="N347" s="145">
        <f t="shared" si="77"/>
        <v>0</v>
      </c>
      <c r="O347" s="147"/>
      <c r="P347" s="146"/>
      <c r="Q347" s="143">
        <v>0</v>
      </c>
      <c r="R347" s="143">
        <v>0</v>
      </c>
      <c r="S347" s="144">
        <f t="shared" si="78"/>
        <v>0</v>
      </c>
      <c r="T347" s="145">
        <f t="shared" si="79"/>
        <v>0</v>
      </c>
      <c r="U347" s="146"/>
      <c r="V347" s="143">
        <v>3.35</v>
      </c>
      <c r="W347" s="143">
        <v>0</v>
      </c>
      <c r="X347" s="144">
        <f t="shared" si="80"/>
        <v>3.35</v>
      </c>
      <c r="Y347" s="145" t="str">
        <f t="shared" si="81"/>
        <v>N.M.</v>
      </c>
      <c r="Z347" s="148"/>
      <c r="AA347" s="149">
        <v>0</v>
      </c>
      <c r="AB347" s="150"/>
      <c r="AC347" s="117">
        <v>0</v>
      </c>
      <c r="AD347" s="117">
        <v>0</v>
      </c>
      <c r="AE347" s="117">
        <v>0</v>
      </c>
      <c r="AF347" s="117">
        <v>0</v>
      </c>
      <c r="AG347" s="117">
        <v>0</v>
      </c>
      <c r="AH347" s="117">
        <v>0</v>
      </c>
      <c r="AI347" s="117">
        <v>0</v>
      </c>
      <c r="AJ347" s="117">
        <v>0</v>
      </c>
      <c r="AK347" s="117">
        <v>0</v>
      </c>
      <c r="AL347" s="117">
        <v>3.35</v>
      </c>
      <c r="AM347" s="117">
        <v>0</v>
      </c>
      <c r="AN347" s="117">
        <v>0</v>
      </c>
      <c r="AO347" s="150"/>
      <c r="AP347" s="117">
        <v>0</v>
      </c>
      <c r="AQ347" s="117">
        <v>0</v>
      </c>
      <c r="AR347" s="117">
        <v>0</v>
      </c>
      <c r="AS347" s="117">
        <v>0</v>
      </c>
      <c r="AT347" s="117">
        <v>0</v>
      </c>
      <c r="AU347" s="117">
        <v>0</v>
      </c>
      <c r="AV347" s="117">
        <v>0</v>
      </c>
      <c r="AW347" s="117">
        <v>0</v>
      </c>
      <c r="AX347" s="117">
        <v>0</v>
      </c>
      <c r="AY347" s="117">
        <v>0</v>
      </c>
      <c r="AZ347" s="117">
        <v>0</v>
      </c>
      <c r="BA347" s="117">
        <v>0</v>
      </c>
    </row>
    <row r="348" spans="1:53" s="138" customFormat="1" outlineLevel="2" x14ac:dyDescent="0.25">
      <c r="A348" s="138" t="s">
        <v>1088</v>
      </c>
      <c r="B348" s="139" t="s">
        <v>1089</v>
      </c>
      <c r="C348" s="140" t="s">
        <v>1090</v>
      </c>
      <c r="D348" s="141"/>
      <c r="E348" s="142"/>
      <c r="F348" s="143">
        <v>12908.220000000001</v>
      </c>
      <c r="G348" s="143">
        <v>9797.31</v>
      </c>
      <c r="H348" s="144">
        <f t="shared" si="74"/>
        <v>3110.9100000000017</v>
      </c>
      <c r="I348" s="145">
        <f t="shared" si="75"/>
        <v>0.31752695382712215</v>
      </c>
      <c r="J348" s="146"/>
      <c r="K348" s="143">
        <v>25816.440000000002</v>
      </c>
      <c r="L348" s="143">
        <v>19594.61</v>
      </c>
      <c r="M348" s="144">
        <f t="shared" si="76"/>
        <v>6221.8300000000017</v>
      </c>
      <c r="N348" s="145">
        <f t="shared" si="77"/>
        <v>0.31752762621965946</v>
      </c>
      <c r="O348" s="147"/>
      <c r="P348" s="146"/>
      <c r="Q348" s="143">
        <v>32169.65</v>
      </c>
      <c r="R348" s="143">
        <v>29391.9</v>
      </c>
      <c r="S348" s="144">
        <f t="shared" si="78"/>
        <v>2777.75</v>
      </c>
      <c r="T348" s="145">
        <f t="shared" si="79"/>
        <v>9.4507330250851423E-2</v>
      </c>
      <c r="U348" s="146"/>
      <c r="V348" s="143">
        <v>120345.32</v>
      </c>
      <c r="W348" s="143">
        <v>118593.61</v>
      </c>
      <c r="X348" s="144">
        <f t="shared" si="80"/>
        <v>1751.7100000000064</v>
      </c>
      <c r="Y348" s="145">
        <f t="shared" si="81"/>
        <v>1.477069464366593E-2</v>
      </c>
      <c r="Z348" s="148"/>
      <c r="AA348" s="149">
        <v>9797.2900000000009</v>
      </c>
      <c r="AB348" s="150"/>
      <c r="AC348" s="117">
        <v>9797.3000000000011</v>
      </c>
      <c r="AD348" s="117">
        <v>9797.31</v>
      </c>
      <c r="AE348" s="117">
        <v>9797.2900000000009</v>
      </c>
      <c r="AF348" s="117">
        <v>9797.3000000000011</v>
      </c>
      <c r="AG348" s="117">
        <v>9797.3000000000011</v>
      </c>
      <c r="AH348" s="117">
        <v>9797.2900000000009</v>
      </c>
      <c r="AI348" s="117">
        <v>9797.3000000000011</v>
      </c>
      <c r="AJ348" s="117">
        <v>9797.3000000000011</v>
      </c>
      <c r="AK348" s="117">
        <v>9797.2900000000009</v>
      </c>
      <c r="AL348" s="117">
        <v>9797.3000000000011</v>
      </c>
      <c r="AM348" s="117">
        <v>9797.3000000000011</v>
      </c>
      <c r="AN348" s="117">
        <v>6353.21</v>
      </c>
      <c r="AO348" s="150"/>
      <c r="AP348" s="117">
        <v>12908.220000000001</v>
      </c>
      <c r="AQ348" s="117">
        <v>12908.220000000001</v>
      </c>
      <c r="AR348" s="117">
        <v>0</v>
      </c>
      <c r="AS348" s="117">
        <v>0</v>
      </c>
      <c r="AT348" s="117">
        <v>0</v>
      </c>
      <c r="AU348" s="117">
        <v>0</v>
      </c>
      <c r="AV348" s="117">
        <v>0</v>
      </c>
      <c r="AW348" s="117">
        <v>0</v>
      </c>
      <c r="AX348" s="117">
        <v>0</v>
      </c>
      <c r="AY348" s="117">
        <v>0</v>
      </c>
      <c r="AZ348" s="117">
        <v>0</v>
      </c>
      <c r="BA348" s="117">
        <v>0</v>
      </c>
    </row>
    <row r="349" spans="1:53" s="138" customFormat="1" outlineLevel="2" x14ac:dyDescent="0.25">
      <c r="A349" s="138" t="s">
        <v>1091</v>
      </c>
      <c r="B349" s="139" t="s">
        <v>1092</v>
      </c>
      <c r="C349" s="140" t="s">
        <v>1093</v>
      </c>
      <c r="D349" s="141"/>
      <c r="E349" s="142"/>
      <c r="F349" s="143">
        <v>18444.420000000002</v>
      </c>
      <c r="G349" s="143">
        <v>22568.16</v>
      </c>
      <c r="H349" s="144">
        <f t="shared" si="74"/>
        <v>-4123.739999999998</v>
      </c>
      <c r="I349" s="145">
        <f t="shared" si="75"/>
        <v>-0.18272380202905322</v>
      </c>
      <c r="J349" s="146"/>
      <c r="K349" s="143">
        <v>-5072.13</v>
      </c>
      <c r="L349" s="143">
        <v>44641.82</v>
      </c>
      <c r="M349" s="144">
        <f t="shared" si="76"/>
        <v>-49713.95</v>
      </c>
      <c r="N349" s="145">
        <f t="shared" si="77"/>
        <v>-1.1136183515815439</v>
      </c>
      <c r="O349" s="147"/>
      <c r="P349" s="146"/>
      <c r="Q349" s="143">
        <v>14726.55</v>
      </c>
      <c r="R349" s="143">
        <v>67022.5</v>
      </c>
      <c r="S349" s="144">
        <f t="shared" si="78"/>
        <v>-52295.95</v>
      </c>
      <c r="T349" s="145">
        <f t="shared" si="79"/>
        <v>-0.78027453467119245</v>
      </c>
      <c r="U349" s="146"/>
      <c r="V349" s="143">
        <v>233979.5</v>
      </c>
      <c r="W349" s="143">
        <v>266924.27999999997</v>
      </c>
      <c r="X349" s="144">
        <f t="shared" si="80"/>
        <v>-32944.77999999997</v>
      </c>
      <c r="Y349" s="145">
        <f t="shared" si="81"/>
        <v>-0.123423691542785</v>
      </c>
      <c r="Z349" s="148"/>
      <c r="AA349" s="149">
        <v>22380.68</v>
      </c>
      <c r="AB349" s="150"/>
      <c r="AC349" s="117">
        <v>22073.66</v>
      </c>
      <c r="AD349" s="117">
        <v>22568.16</v>
      </c>
      <c r="AE349" s="117">
        <v>22640.79</v>
      </c>
      <c r="AF349" s="117">
        <v>22325.98</v>
      </c>
      <c r="AG349" s="117">
        <v>22363.760000000002</v>
      </c>
      <c r="AH349" s="117">
        <v>22781.05</v>
      </c>
      <c r="AI349" s="117">
        <v>22802.720000000001</v>
      </c>
      <c r="AJ349" s="117">
        <v>23170.71</v>
      </c>
      <c r="AK349" s="117">
        <v>23026.639999999999</v>
      </c>
      <c r="AL349" s="117">
        <v>26575.7</v>
      </c>
      <c r="AM349" s="117">
        <v>33565.599999999999</v>
      </c>
      <c r="AN349" s="117">
        <v>19798.68</v>
      </c>
      <c r="AO349" s="150"/>
      <c r="AP349" s="117">
        <v>-23516.55</v>
      </c>
      <c r="AQ349" s="117">
        <v>18444.420000000002</v>
      </c>
      <c r="AR349" s="117">
        <v>0</v>
      </c>
      <c r="AS349" s="117">
        <v>0</v>
      </c>
      <c r="AT349" s="117">
        <v>0</v>
      </c>
      <c r="AU349" s="117">
        <v>0</v>
      </c>
      <c r="AV349" s="117">
        <v>0</v>
      </c>
      <c r="AW349" s="117">
        <v>0</v>
      </c>
      <c r="AX349" s="117">
        <v>0</v>
      </c>
      <c r="AY349" s="117">
        <v>0</v>
      </c>
      <c r="AZ349" s="117">
        <v>0</v>
      </c>
      <c r="BA349" s="117">
        <v>0</v>
      </c>
    </row>
    <row r="350" spans="1:53" s="211" customFormat="1" outlineLevel="1" x14ac:dyDescent="0.25">
      <c r="A350" s="211" t="s">
        <v>1094</v>
      </c>
      <c r="B350" s="212"/>
      <c r="C350" s="213" t="s">
        <v>1095</v>
      </c>
      <c r="D350" s="229"/>
      <c r="E350" s="229"/>
      <c r="F350" s="215">
        <v>1243721.7010000001</v>
      </c>
      <c r="G350" s="215">
        <v>1719816.1300000001</v>
      </c>
      <c r="H350" s="236">
        <f t="shared" ref="H350:H362" si="82">+F350-G350</f>
        <v>-476094.429</v>
      </c>
      <c r="I350" s="237">
        <f t="shared" ref="I350:I362" si="83">IF(G350&lt;0,IF(H350=0,0,IF(OR(G350=0,F350=0),"N.M.",IF(ABS(H350/G350)&gt;=10,"N.M.",H350/(-G350)))),IF(H350=0,0,IF(OR(G350=0,F350=0),"N.M.",IF(ABS(H350/G350)&gt;=10,"N.M.",H350/G350))))</f>
        <v>-0.27682867993568588</v>
      </c>
      <c r="J350" s="231"/>
      <c r="K350" s="215">
        <v>3160895.588</v>
      </c>
      <c r="L350" s="215">
        <v>3766790.2779999995</v>
      </c>
      <c r="M350" s="236">
        <f>+K350-L350</f>
        <v>-605894.68999999948</v>
      </c>
      <c r="N350" s="232">
        <f>IF(L350&lt;0,IF(M350=0,0,IF(OR(L350=0,K350=0),"N.M.",IF(ABS(M350/L350)&gt;=10,"N.M.",M350/(-L350)))),IF(M350=0,0,IF(OR(L350=0,K350=0),"N.M.",IF(ABS(M350/L350)&gt;=10,"N.M.",M350/L350))))</f>
        <v>-0.16085171864723591</v>
      </c>
      <c r="O350" s="233"/>
      <c r="P350" s="233"/>
      <c r="Q350" s="215">
        <v>5130832.2089999998</v>
      </c>
      <c r="R350" s="215">
        <v>5651525.7160000019</v>
      </c>
      <c r="S350" s="236">
        <f t="shared" ref="S350:S362" si="84">+Q350-R350</f>
        <v>-520693.50700000208</v>
      </c>
      <c r="T350" s="237">
        <f t="shared" ref="T350:T362" si="85">IF(R350&lt;0,IF(S350=0,0,IF(OR(R350=0,Q350=0),"N.M.",IF(ABS(S350/R350)&gt;=10,"N.M.",S350/(-R350)))),IF(S350=0,0,IF(OR(R350=0,Q350=0),"N.M.",IF(ABS(S350/R350)&gt;=10,"N.M.",S350/R350))))</f>
        <v>-9.2133263328497236E-2</v>
      </c>
      <c r="U350" s="233"/>
      <c r="V350" s="215">
        <v>18400697.148999993</v>
      </c>
      <c r="W350" s="215">
        <v>20186575.541000005</v>
      </c>
      <c r="X350" s="236">
        <f t="shared" ref="X350:X362" si="86">+V350-W350</f>
        <v>-1785878.3920000121</v>
      </c>
      <c r="Y350" s="232">
        <f t="shared" ref="Y350:Y362" si="87">IF(W350&lt;0,IF(X350=0,0,IF(OR(W350=0,V350=0),"N.M.",IF(ABS(X350/W350)&gt;=10,"N.M.",X350/(-W350)))),IF(X350=0,0,IF(OR(W350=0,V350=0),"N.M.",IF(ABS(X350/W350)&gt;=10,"N.M.",X350/W350))))</f>
        <v>-8.8468615609061496E-2</v>
      </c>
      <c r="AA350" s="215">
        <v>1884735.4380000008</v>
      </c>
      <c r="AB350" s="235"/>
      <c r="AC350" s="215">
        <v>2046974.1479999998</v>
      </c>
      <c r="AD350" s="215">
        <v>1719816.1300000001</v>
      </c>
      <c r="AE350" s="215">
        <v>1032659.4890000001</v>
      </c>
      <c r="AF350" s="215">
        <v>1327107.8199999994</v>
      </c>
      <c r="AG350" s="215">
        <v>1609425.496</v>
      </c>
      <c r="AH350" s="215">
        <v>1282258.0450000009</v>
      </c>
      <c r="AI350" s="215">
        <v>1299954.6820000003</v>
      </c>
      <c r="AJ350" s="215">
        <v>1548811.1169999996</v>
      </c>
      <c r="AK350" s="215">
        <v>1483362.0519999994</v>
      </c>
      <c r="AL350" s="215">
        <v>2019364.4269999999</v>
      </c>
      <c r="AM350" s="215">
        <v>1666921.8119999999</v>
      </c>
      <c r="AN350" s="215">
        <v>1969936.6210000003</v>
      </c>
      <c r="AO350" s="235"/>
      <c r="AP350" s="215">
        <v>1917173.8869999996</v>
      </c>
      <c r="AQ350" s="215">
        <v>1243721.7010000001</v>
      </c>
      <c r="AR350" s="215">
        <v>655858.71</v>
      </c>
      <c r="AS350" s="215">
        <v>0</v>
      </c>
      <c r="AT350" s="215">
        <v>0</v>
      </c>
      <c r="AU350" s="215">
        <v>0</v>
      </c>
      <c r="AV350" s="215">
        <v>0</v>
      </c>
      <c r="AW350" s="215">
        <v>0</v>
      </c>
      <c r="AX350" s="215">
        <v>0</v>
      </c>
      <c r="AY350" s="215">
        <v>0</v>
      </c>
      <c r="AZ350" s="215">
        <v>0</v>
      </c>
      <c r="BA350" s="215">
        <v>0</v>
      </c>
    </row>
    <row r="351" spans="1:53" s="244" customFormat="1" x14ac:dyDescent="0.25">
      <c r="A351" s="211"/>
      <c r="B351" s="212" t="s">
        <v>1096</v>
      </c>
      <c r="C351" s="238" t="s">
        <v>1097</v>
      </c>
      <c r="D351" s="246"/>
      <c r="E351" s="246"/>
      <c r="F351" s="241">
        <f>-(-F350-F284-F266-F247-F245-F232-F228-F201-F198-F159-F156-F154-F151-F125)</f>
        <v>28993306.747999996</v>
      </c>
      <c r="G351" s="241">
        <f>-(-G350-G284-G266-G247-G245-G232-G228-G201-G198-G159-G156-G154-G151-G125)</f>
        <v>28170556.897</v>
      </c>
      <c r="H351" s="236">
        <f t="shared" si="82"/>
        <v>822749.85099999607</v>
      </c>
      <c r="I351" s="237">
        <f t="shared" si="83"/>
        <v>2.920602010134965E-2</v>
      </c>
      <c r="J351" s="242"/>
      <c r="K351" s="241">
        <f>-(-K350-K284-K266-K247-K245-K232-K228-K201-K198-K159-K156-K154-K151-K125)</f>
        <v>57914783.357999995</v>
      </c>
      <c r="L351" s="241">
        <f>-(-L350-L284-L266-L247-L245-L232-L228-L201-L198-L159-L156-L154-L151-L125)</f>
        <v>56183828.401000008</v>
      </c>
      <c r="M351" s="236">
        <f>+K351-L351</f>
        <v>1730954.9569999874</v>
      </c>
      <c r="N351" s="237">
        <f>IF(L351&lt;0,IF(M351=0,0,IF(OR(L351=0,K351=0),"N.M.",IF(ABS(M351/L351)&gt;=10,"N.M.",M351/(-L351)))),IF(M351=0,0,IF(OR(L351=0,K351=0),"N.M.",IF(ABS(M351/L351)&gt;=10,"N.M.",M351/L351))))</f>
        <v>3.0808775518921E-2</v>
      </c>
      <c r="O351" s="148"/>
      <c r="P351" s="243"/>
      <c r="Q351" s="241">
        <f>-(-Q350-Q284-Q266-Q247-Q245-Q232-Q228-Q201-Q198-Q159-Q156-Q154-Q151-Q125)</f>
        <v>95258295.290000007</v>
      </c>
      <c r="R351" s="241">
        <f>-(-R350-R284-R266-R247-R245-R232-R228-R201-R198-R159-R156-R154-R151-R125)</f>
        <v>86934358.696000025</v>
      </c>
      <c r="S351" s="236">
        <f t="shared" si="84"/>
        <v>8323936.5939999819</v>
      </c>
      <c r="T351" s="237">
        <f t="shared" si="85"/>
        <v>9.5749675029039791E-2</v>
      </c>
      <c r="U351" s="243" t="s">
        <v>1098</v>
      </c>
      <c r="V351" s="241">
        <f>-(-V350-V284-V266-V247-V245-V232-V228-V201-V198-V159-V156-V154-V151-V125)</f>
        <v>360807072.46000004</v>
      </c>
      <c r="W351" s="241">
        <f>-(-W350-W284-W266-W247-W245-W232-W228-W201-W198-W159-W156-W154-W151-W125)</f>
        <v>363361866.00500005</v>
      </c>
      <c r="X351" s="236">
        <f t="shared" si="86"/>
        <v>-2554793.5450000167</v>
      </c>
      <c r="Y351" s="232">
        <f t="shared" si="87"/>
        <v>-7.030989721317815E-3</v>
      </c>
      <c r="AA351" s="241">
        <f>-(-AA350-AA284-AA266-AA247-AA245-AA232-AA228-AA201-AA198-AA159-AA156-AA154-AA151-AA125)</f>
        <v>30750530.295000002</v>
      </c>
      <c r="AB351" s="245"/>
      <c r="AC351" s="241">
        <f t="shared" ref="AC351:AN351" si="88">-(-AC350-AC284-AC266-AC247-AC245-AC232-AC228-AC201-AC198-AC159-AC156-AC154-AC151-AC125)</f>
        <v>28013271.504000004</v>
      </c>
      <c r="AD351" s="241">
        <f t="shared" si="88"/>
        <v>28170556.897</v>
      </c>
      <c r="AE351" s="241">
        <f t="shared" si="88"/>
        <v>25488871.409000002</v>
      </c>
      <c r="AF351" s="241">
        <f t="shared" si="88"/>
        <v>23878706.515999995</v>
      </c>
      <c r="AG351" s="241">
        <f t="shared" si="88"/>
        <v>24774285.955999997</v>
      </c>
      <c r="AH351" s="241">
        <f t="shared" si="88"/>
        <v>33377619.955000006</v>
      </c>
      <c r="AI351" s="241">
        <f t="shared" si="88"/>
        <v>32928459.232000001</v>
      </c>
      <c r="AJ351" s="241">
        <f t="shared" si="88"/>
        <v>34333278.724000007</v>
      </c>
      <c r="AK351" s="241">
        <f t="shared" si="88"/>
        <v>27767834.759999998</v>
      </c>
      <c r="AL351" s="241">
        <f t="shared" si="88"/>
        <v>27299826.097999997</v>
      </c>
      <c r="AM351" s="241">
        <f t="shared" si="88"/>
        <v>35699894.519999996</v>
      </c>
      <c r="AN351" s="241">
        <f t="shared" si="88"/>
        <v>37343511.931999996</v>
      </c>
      <c r="AO351" s="245"/>
      <c r="AP351" s="241">
        <f t="shared" ref="AP351:BA351" si="89">-(-AP350-AP284-AP266-AP247-AP245-AP232-AP228-AP201-AP198-AP159-AP156-AP154-AP151-AP125)</f>
        <v>28921476.609999999</v>
      </c>
      <c r="AQ351" s="241">
        <f t="shared" si="89"/>
        <v>28993306.747999996</v>
      </c>
      <c r="AR351" s="241">
        <f t="shared" si="89"/>
        <v>63908408.063000001</v>
      </c>
      <c r="AS351" s="241">
        <f t="shared" si="89"/>
        <v>1456814.18</v>
      </c>
      <c r="AT351" s="241">
        <f t="shared" si="89"/>
        <v>0</v>
      </c>
      <c r="AU351" s="241">
        <f t="shared" si="89"/>
        <v>0</v>
      </c>
      <c r="AV351" s="241">
        <f t="shared" si="89"/>
        <v>0</v>
      </c>
      <c r="AW351" s="241">
        <f t="shared" si="89"/>
        <v>0</v>
      </c>
      <c r="AX351" s="241">
        <f t="shared" si="89"/>
        <v>0</v>
      </c>
      <c r="AY351" s="241">
        <f t="shared" si="89"/>
        <v>0</v>
      </c>
      <c r="AZ351" s="241">
        <f t="shared" si="89"/>
        <v>0</v>
      </c>
      <c r="BA351" s="241">
        <f t="shared" si="89"/>
        <v>0</v>
      </c>
    </row>
    <row r="352" spans="1:53" s="244" customFormat="1" outlineLevel="2" x14ac:dyDescent="0.25">
      <c r="A352" s="211"/>
      <c r="B352" s="212"/>
      <c r="C352" s="238"/>
      <c r="D352" s="246"/>
      <c r="E352" s="246"/>
      <c r="F352" s="241">
        <f>+F351-F350-F284-F266-F247-F245-F232-F228-F201-F198-F159-F156-F154-F151-F125</f>
        <v>0</v>
      </c>
      <c r="G352" s="241">
        <f>+G351-G350-G284-G266-G247-G245-G232-G228-G201-G198-G159-G156-G154-G151-G125</f>
        <v>0</v>
      </c>
      <c r="H352" s="236">
        <f t="shared" si="82"/>
        <v>0</v>
      </c>
      <c r="I352" s="237">
        <f t="shared" si="83"/>
        <v>0</v>
      </c>
      <c r="J352" s="242"/>
      <c r="K352" s="241">
        <f>+K351-K350-K284-K266-K247-K245-K232-K228-K201-K198-K159-K156-K154-K151-K125</f>
        <v>0</v>
      </c>
      <c r="L352" s="241">
        <f>+L351-L350-L284-L266-L247-L245-L232-L228-L201-L198-L159-L156-L154-L151-L125</f>
        <v>0</v>
      </c>
      <c r="M352" s="236"/>
      <c r="N352" s="237"/>
      <c r="O352" s="148"/>
      <c r="P352" s="243"/>
      <c r="Q352" s="241">
        <f>+Q351-Q350-Q284-Q266-Q247-Q245-Q232-Q228-Q201-Q198-Q159-Q156-Q154-Q151-Q125</f>
        <v>0</v>
      </c>
      <c r="R352" s="241">
        <f>+R351-R350-R284-R266-R247-R245-R232-R228-R201-R198-R159-R156-R154-R151-R125</f>
        <v>0</v>
      </c>
      <c r="S352" s="236">
        <f t="shared" si="84"/>
        <v>0</v>
      </c>
      <c r="T352" s="237">
        <f t="shared" si="85"/>
        <v>0</v>
      </c>
      <c r="U352" s="243"/>
      <c r="V352" s="241">
        <f>+V351-V350-V284-V266-V247-V245-V232-V228-V201-V198-V159-V156-V154-V151-V125</f>
        <v>0</v>
      </c>
      <c r="W352" s="241">
        <f>+W351-W350-W284-W266-W247-W245-W232-W228-W201-W198-W159-W156-W154-W151-W125</f>
        <v>0</v>
      </c>
      <c r="X352" s="236">
        <f t="shared" si="86"/>
        <v>0</v>
      </c>
      <c r="Y352" s="232">
        <f t="shared" si="87"/>
        <v>0</v>
      </c>
      <c r="AA352" s="241">
        <f>+AA351-AA350-AA284-AA266-AA247-AA245-AA232-AA228-AA201-AA198-AA159-AA156-AA154-AA151-AA125</f>
        <v>0</v>
      </c>
      <c r="AB352" s="245"/>
      <c r="AC352" s="241">
        <f t="shared" ref="AC352:AN352" si="90">+AC351-AC350-AC284-AC266-AC247-AC245-AC232-AC228-AC201-AC198-AC159-AC156-AC154-AC151-AC125</f>
        <v>0</v>
      </c>
      <c r="AD352" s="241">
        <f t="shared" si="90"/>
        <v>0</v>
      </c>
      <c r="AE352" s="241">
        <f t="shared" si="90"/>
        <v>0</v>
      </c>
      <c r="AF352" s="241">
        <f t="shared" si="90"/>
        <v>0</v>
      </c>
      <c r="AG352" s="241">
        <f t="shared" si="90"/>
        <v>0</v>
      </c>
      <c r="AH352" s="241">
        <f t="shared" si="90"/>
        <v>0</v>
      </c>
      <c r="AI352" s="241">
        <f t="shared" si="90"/>
        <v>0</v>
      </c>
      <c r="AJ352" s="241">
        <f t="shared" si="90"/>
        <v>0</v>
      </c>
      <c r="AK352" s="241">
        <f t="shared" si="90"/>
        <v>0</v>
      </c>
      <c r="AL352" s="241">
        <f t="shared" si="90"/>
        <v>0</v>
      </c>
      <c r="AM352" s="241">
        <f t="shared" si="90"/>
        <v>0</v>
      </c>
      <c r="AN352" s="241">
        <f t="shared" si="90"/>
        <v>0</v>
      </c>
      <c r="AO352" s="245"/>
      <c r="AP352" s="241">
        <f t="shared" ref="AP352:BA352" si="91">+AP351-AP350-AP284-AP266-AP247-AP245-AP232-AP228-AP201-AP198-AP159-AP156-AP154-AP151-AP125</f>
        <v>0</v>
      </c>
      <c r="AQ352" s="241">
        <f t="shared" si="91"/>
        <v>0</v>
      </c>
      <c r="AR352" s="241">
        <f t="shared" si="91"/>
        <v>0</v>
      </c>
      <c r="AS352" s="241">
        <f t="shared" si="91"/>
        <v>0</v>
      </c>
      <c r="AT352" s="241">
        <f t="shared" si="91"/>
        <v>0</v>
      </c>
      <c r="AU352" s="241">
        <f t="shared" si="91"/>
        <v>0</v>
      </c>
      <c r="AV352" s="241">
        <f t="shared" si="91"/>
        <v>0</v>
      </c>
      <c r="AW352" s="241">
        <f t="shared" si="91"/>
        <v>0</v>
      </c>
      <c r="AX352" s="241">
        <f t="shared" si="91"/>
        <v>0</v>
      </c>
      <c r="AY352" s="241">
        <f t="shared" si="91"/>
        <v>0</v>
      </c>
      <c r="AZ352" s="241">
        <f t="shared" si="91"/>
        <v>0</v>
      </c>
      <c r="BA352" s="241">
        <f t="shared" si="91"/>
        <v>0</v>
      </c>
    </row>
    <row r="353" spans="1:53" s="138" customFormat="1" outlineLevel="2" x14ac:dyDescent="0.25">
      <c r="A353" s="138" t="s">
        <v>1099</v>
      </c>
      <c r="B353" s="139" t="s">
        <v>1100</v>
      </c>
      <c r="C353" s="140" t="s">
        <v>1101</v>
      </c>
      <c r="D353" s="141"/>
      <c r="E353" s="142"/>
      <c r="F353" s="143">
        <v>204754.48</v>
      </c>
      <c r="G353" s="143">
        <v>188161.25</v>
      </c>
      <c r="H353" s="144">
        <f t="shared" si="82"/>
        <v>16593.23000000001</v>
      </c>
      <c r="I353" s="145">
        <f t="shared" si="83"/>
        <v>8.818622325266233E-2</v>
      </c>
      <c r="J353" s="146"/>
      <c r="K353" s="143">
        <v>453599.57</v>
      </c>
      <c r="L353" s="143">
        <v>329798.59000000003</v>
      </c>
      <c r="M353" s="144">
        <f t="shared" ref="M353:M362" si="92">+K353-L353</f>
        <v>123800.97999999998</v>
      </c>
      <c r="N353" s="145">
        <f t="shared" ref="N353:N362" si="93">IF(L353&lt;0,IF(M353=0,0,IF(OR(L353=0,K353=0),"N.M.",IF(ABS(M353/L353)&gt;=10,"N.M.",M353/(-L353)))),IF(M353=0,0,IF(OR(L353=0,K353=0),"N.M.",IF(ABS(M353/L353)&gt;=10,"N.M.",M353/L353))))</f>
        <v>0.37538359396867033</v>
      </c>
      <c r="O353" s="147"/>
      <c r="P353" s="146"/>
      <c r="Q353" s="143">
        <v>742794.11</v>
      </c>
      <c r="R353" s="143">
        <v>519956.81000000006</v>
      </c>
      <c r="S353" s="144">
        <f t="shared" si="84"/>
        <v>222837.29999999993</v>
      </c>
      <c r="T353" s="145">
        <f t="shared" si="85"/>
        <v>0.42856886517170512</v>
      </c>
      <c r="U353" s="146"/>
      <c r="V353" s="143">
        <v>2598114.29</v>
      </c>
      <c r="W353" s="143">
        <v>3042335.4699999997</v>
      </c>
      <c r="X353" s="144">
        <f t="shared" si="86"/>
        <v>-444221.1799999997</v>
      </c>
      <c r="Y353" s="145">
        <f t="shared" si="87"/>
        <v>-0.14601321398655612</v>
      </c>
      <c r="Z353" s="148"/>
      <c r="AA353" s="149">
        <v>190158.22</v>
      </c>
      <c r="AB353" s="150"/>
      <c r="AC353" s="117">
        <v>141637.34</v>
      </c>
      <c r="AD353" s="117">
        <v>188161.25</v>
      </c>
      <c r="AE353" s="117">
        <v>188366.2</v>
      </c>
      <c r="AF353" s="117">
        <v>228999.13</v>
      </c>
      <c r="AG353" s="117">
        <v>190049.56</v>
      </c>
      <c r="AH353" s="117">
        <v>217673.33000000002</v>
      </c>
      <c r="AI353" s="117">
        <v>195231.96</v>
      </c>
      <c r="AJ353" s="117">
        <v>226745.54</v>
      </c>
      <c r="AK353" s="117">
        <v>196931.04</v>
      </c>
      <c r="AL353" s="117">
        <v>219277.08000000002</v>
      </c>
      <c r="AM353" s="117">
        <v>192046.34</v>
      </c>
      <c r="AN353" s="117">
        <v>289194.53999999998</v>
      </c>
      <c r="AO353" s="150"/>
      <c r="AP353" s="117">
        <v>248845.09</v>
      </c>
      <c r="AQ353" s="117">
        <v>204754.48</v>
      </c>
      <c r="AR353" s="117">
        <v>21081.24</v>
      </c>
      <c r="AS353" s="117">
        <v>0</v>
      </c>
      <c r="AT353" s="117">
        <v>0</v>
      </c>
      <c r="AU353" s="117">
        <v>0</v>
      </c>
      <c r="AV353" s="117">
        <v>0</v>
      </c>
      <c r="AW353" s="117">
        <v>0</v>
      </c>
      <c r="AX353" s="117">
        <v>0</v>
      </c>
      <c r="AY353" s="117">
        <v>0</v>
      </c>
      <c r="AZ353" s="117">
        <v>0</v>
      </c>
      <c r="BA353" s="117">
        <v>0</v>
      </c>
    </row>
    <row r="354" spans="1:53" s="138" customFormat="1" outlineLevel="2" x14ac:dyDescent="0.25">
      <c r="A354" s="138" t="s">
        <v>1102</v>
      </c>
      <c r="B354" s="139" t="s">
        <v>1103</v>
      </c>
      <c r="C354" s="140" t="s">
        <v>1104</v>
      </c>
      <c r="D354" s="141"/>
      <c r="E354" s="142"/>
      <c r="F354" s="143">
        <v>210819.58000000002</v>
      </c>
      <c r="G354" s="143">
        <v>237804.06</v>
      </c>
      <c r="H354" s="144">
        <f t="shared" si="82"/>
        <v>-26984.479999999981</v>
      </c>
      <c r="I354" s="145">
        <f t="shared" si="83"/>
        <v>-0.11347358829786161</v>
      </c>
      <c r="J354" s="146"/>
      <c r="K354" s="143">
        <v>353312.34</v>
      </c>
      <c r="L354" s="143">
        <v>672630</v>
      </c>
      <c r="M354" s="144">
        <f t="shared" si="92"/>
        <v>-319317.65999999997</v>
      </c>
      <c r="N354" s="145">
        <f t="shared" si="93"/>
        <v>-0.47473002988269919</v>
      </c>
      <c r="O354" s="147"/>
      <c r="P354" s="146"/>
      <c r="Q354" s="143">
        <v>588017.48</v>
      </c>
      <c r="R354" s="143">
        <v>1653378.42</v>
      </c>
      <c r="S354" s="144">
        <f t="shared" si="84"/>
        <v>-1065360.94</v>
      </c>
      <c r="T354" s="145">
        <f t="shared" si="85"/>
        <v>-0.64435396465377837</v>
      </c>
      <c r="U354" s="146"/>
      <c r="V354" s="143">
        <v>1636922.31</v>
      </c>
      <c r="W354" s="143">
        <v>3351502.29</v>
      </c>
      <c r="X354" s="144">
        <f t="shared" si="86"/>
        <v>-1714579.98</v>
      </c>
      <c r="Y354" s="145">
        <f t="shared" si="87"/>
        <v>-0.51158550155727323</v>
      </c>
      <c r="Z354" s="148"/>
      <c r="AA354" s="149">
        <v>980748.42</v>
      </c>
      <c r="AB354" s="150"/>
      <c r="AC354" s="117">
        <v>434825.94</v>
      </c>
      <c r="AD354" s="117">
        <v>237804.06</v>
      </c>
      <c r="AE354" s="117">
        <v>300418.08</v>
      </c>
      <c r="AF354" s="117">
        <v>129308.04000000001</v>
      </c>
      <c r="AG354" s="117">
        <v>61575.41</v>
      </c>
      <c r="AH354" s="117">
        <v>87083.25</v>
      </c>
      <c r="AI354" s="117">
        <v>94652.84</v>
      </c>
      <c r="AJ354" s="117">
        <v>113224.92</v>
      </c>
      <c r="AK354" s="117">
        <v>167757.97</v>
      </c>
      <c r="AL354" s="117">
        <v>88019.150000000009</v>
      </c>
      <c r="AM354" s="117">
        <v>6865.17</v>
      </c>
      <c r="AN354" s="117">
        <v>234705.14</v>
      </c>
      <c r="AO354" s="150"/>
      <c r="AP354" s="117">
        <v>142492.76</v>
      </c>
      <c r="AQ354" s="117">
        <v>210819.58000000002</v>
      </c>
      <c r="AR354" s="117">
        <v>-23982.29</v>
      </c>
      <c r="AS354" s="117">
        <v>0</v>
      </c>
      <c r="AT354" s="117">
        <v>0</v>
      </c>
      <c r="AU354" s="117">
        <v>0</v>
      </c>
      <c r="AV354" s="117">
        <v>0</v>
      </c>
      <c r="AW354" s="117">
        <v>0</v>
      </c>
      <c r="AX354" s="117">
        <v>0</v>
      </c>
      <c r="AY354" s="117">
        <v>0</v>
      </c>
      <c r="AZ354" s="117">
        <v>0</v>
      </c>
      <c r="BA354" s="117">
        <v>0</v>
      </c>
    </row>
    <row r="355" spans="1:53" s="138" customFormat="1" outlineLevel="2" x14ac:dyDescent="0.25">
      <c r="A355" s="138" t="s">
        <v>1105</v>
      </c>
      <c r="B355" s="139" t="s">
        <v>1106</v>
      </c>
      <c r="C355" s="140" t="s">
        <v>1107</v>
      </c>
      <c r="D355" s="141"/>
      <c r="E355" s="142"/>
      <c r="F355" s="143">
        <v>729333.93</v>
      </c>
      <c r="G355" s="143">
        <v>1632067.47</v>
      </c>
      <c r="H355" s="144">
        <f t="shared" si="82"/>
        <v>-902733.53999999992</v>
      </c>
      <c r="I355" s="145">
        <f t="shared" si="83"/>
        <v>-0.5531226843213779</v>
      </c>
      <c r="J355" s="146"/>
      <c r="K355" s="143">
        <v>1921233.8900000001</v>
      </c>
      <c r="L355" s="143">
        <v>3081670.52</v>
      </c>
      <c r="M355" s="144">
        <f t="shared" si="92"/>
        <v>-1160436.6299999999</v>
      </c>
      <c r="N355" s="145">
        <f t="shared" si="93"/>
        <v>-0.37656090177998647</v>
      </c>
      <c r="O355" s="147"/>
      <c r="P355" s="146"/>
      <c r="Q355" s="143">
        <v>3254992.0300000003</v>
      </c>
      <c r="R355" s="143">
        <v>5017752.9000000004</v>
      </c>
      <c r="S355" s="144">
        <f t="shared" si="84"/>
        <v>-1762760.87</v>
      </c>
      <c r="T355" s="145">
        <f t="shared" si="85"/>
        <v>-0.35130483806805235</v>
      </c>
      <c r="U355" s="146"/>
      <c r="V355" s="143">
        <v>14747602.216</v>
      </c>
      <c r="W355" s="143">
        <v>22244222.419999998</v>
      </c>
      <c r="X355" s="144">
        <f t="shared" si="86"/>
        <v>-7496620.203999998</v>
      </c>
      <c r="Y355" s="145">
        <f t="shared" si="87"/>
        <v>-0.3370142620611325</v>
      </c>
      <c r="Z355" s="148"/>
      <c r="AA355" s="149">
        <v>1936082.38</v>
      </c>
      <c r="AB355" s="150"/>
      <c r="AC355" s="117">
        <v>1449603.05</v>
      </c>
      <c r="AD355" s="117">
        <v>1632067.47</v>
      </c>
      <c r="AE355" s="117">
        <v>1657092.44</v>
      </c>
      <c r="AF355" s="117">
        <v>1436624.77</v>
      </c>
      <c r="AG355" s="117">
        <v>957763.79599999997</v>
      </c>
      <c r="AH355" s="117">
        <v>901950.33000000007</v>
      </c>
      <c r="AI355" s="117">
        <v>663091.89</v>
      </c>
      <c r="AJ355" s="117">
        <v>388160.68</v>
      </c>
      <c r="AK355" s="117">
        <v>1688775.53</v>
      </c>
      <c r="AL355" s="117">
        <v>2853836.04</v>
      </c>
      <c r="AM355" s="117">
        <v>945314.71</v>
      </c>
      <c r="AN355" s="117">
        <v>1333758.1400000001</v>
      </c>
      <c r="AO355" s="150"/>
      <c r="AP355" s="117">
        <v>1191899.96</v>
      </c>
      <c r="AQ355" s="117">
        <v>729333.93</v>
      </c>
      <c r="AR355" s="117">
        <v>57695.03</v>
      </c>
      <c r="AS355" s="117">
        <v>0</v>
      </c>
      <c r="AT355" s="117">
        <v>0</v>
      </c>
      <c r="AU355" s="117">
        <v>0</v>
      </c>
      <c r="AV355" s="117">
        <v>0</v>
      </c>
      <c r="AW355" s="117">
        <v>0</v>
      </c>
      <c r="AX355" s="117">
        <v>0</v>
      </c>
      <c r="AY355" s="117">
        <v>0</v>
      </c>
      <c r="AZ355" s="117">
        <v>0</v>
      </c>
      <c r="BA355" s="117">
        <v>0</v>
      </c>
    </row>
    <row r="356" spans="1:53" s="138" customFormat="1" outlineLevel="2" x14ac:dyDescent="0.25">
      <c r="A356" s="138" t="s">
        <v>1108</v>
      </c>
      <c r="B356" s="139" t="s">
        <v>1109</v>
      </c>
      <c r="C356" s="140" t="s">
        <v>113</v>
      </c>
      <c r="D356" s="141"/>
      <c r="E356" s="142"/>
      <c r="F356" s="143">
        <v>0</v>
      </c>
      <c r="G356" s="143">
        <v>0</v>
      </c>
      <c r="H356" s="144">
        <f t="shared" si="82"/>
        <v>0</v>
      </c>
      <c r="I356" s="145">
        <f t="shared" si="83"/>
        <v>0</v>
      </c>
      <c r="J356" s="146"/>
      <c r="K356" s="143">
        <v>0</v>
      </c>
      <c r="L356" s="143">
        <v>0</v>
      </c>
      <c r="M356" s="144">
        <f t="shared" si="92"/>
        <v>0</v>
      </c>
      <c r="N356" s="145">
        <f t="shared" si="93"/>
        <v>0</v>
      </c>
      <c r="O356" s="147"/>
      <c r="P356" s="146"/>
      <c r="Q356" s="143">
        <v>0</v>
      </c>
      <c r="R356" s="143">
        <v>0</v>
      </c>
      <c r="S356" s="144">
        <f t="shared" si="84"/>
        <v>0</v>
      </c>
      <c r="T356" s="145">
        <f t="shared" si="85"/>
        <v>0</v>
      </c>
      <c r="U356" s="146"/>
      <c r="V356" s="143">
        <v>0</v>
      </c>
      <c r="W356" s="143">
        <v>-4521</v>
      </c>
      <c r="X356" s="144">
        <f t="shared" si="86"/>
        <v>4521</v>
      </c>
      <c r="Y356" s="145" t="str">
        <f t="shared" si="87"/>
        <v>N.M.</v>
      </c>
      <c r="Z356" s="148"/>
      <c r="AA356" s="149">
        <v>0</v>
      </c>
      <c r="AB356" s="150"/>
      <c r="AC356" s="117">
        <v>0</v>
      </c>
      <c r="AD356" s="117">
        <v>0</v>
      </c>
      <c r="AE356" s="117">
        <v>0</v>
      </c>
      <c r="AF356" s="117">
        <v>0</v>
      </c>
      <c r="AG356" s="117">
        <v>0</v>
      </c>
      <c r="AH356" s="117">
        <v>0</v>
      </c>
      <c r="AI356" s="117">
        <v>0</v>
      </c>
      <c r="AJ356" s="117">
        <v>0</v>
      </c>
      <c r="AK356" s="117">
        <v>0</v>
      </c>
      <c r="AL356" s="117">
        <v>0</v>
      </c>
      <c r="AM356" s="117">
        <v>0</v>
      </c>
      <c r="AN356" s="117">
        <v>0</v>
      </c>
      <c r="AO356" s="150"/>
      <c r="AP356" s="117">
        <v>0</v>
      </c>
      <c r="AQ356" s="117">
        <v>0</v>
      </c>
      <c r="AR356" s="117">
        <v>0</v>
      </c>
      <c r="AS356" s="117">
        <v>0</v>
      </c>
      <c r="AT356" s="117">
        <v>0</v>
      </c>
      <c r="AU356" s="117">
        <v>0</v>
      </c>
      <c r="AV356" s="117">
        <v>0</v>
      </c>
      <c r="AW356" s="117">
        <v>0</v>
      </c>
      <c r="AX356" s="117">
        <v>0</v>
      </c>
      <c r="AY356" s="117">
        <v>0</v>
      </c>
      <c r="AZ356" s="117">
        <v>0</v>
      </c>
      <c r="BA356" s="117">
        <v>0</v>
      </c>
    </row>
    <row r="357" spans="1:53" s="138" customFormat="1" outlineLevel="2" x14ac:dyDescent="0.25">
      <c r="A357" s="138" t="s">
        <v>1110</v>
      </c>
      <c r="B357" s="139" t="s">
        <v>1111</v>
      </c>
      <c r="C357" s="140" t="s">
        <v>1112</v>
      </c>
      <c r="D357" s="141"/>
      <c r="E357" s="142"/>
      <c r="F357" s="143">
        <v>0</v>
      </c>
      <c r="G357" s="143">
        <v>0</v>
      </c>
      <c r="H357" s="144">
        <f t="shared" si="82"/>
        <v>0</v>
      </c>
      <c r="I357" s="145">
        <f t="shared" si="83"/>
        <v>0</v>
      </c>
      <c r="J357" s="146"/>
      <c r="K357" s="143">
        <v>0</v>
      </c>
      <c r="L357" s="143">
        <v>0</v>
      </c>
      <c r="M357" s="144">
        <f t="shared" si="92"/>
        <v>0</v>
      </c>
      <c r="N357" s="145">
        <f t="shared" si="93"/>
        <v>0</v>
      </c>
      <c r="O357" s="147"/>
      <c r="P357" s="146"/>
      <c r="Q357" s="143">
        <v>0</v>
      </c>
      <c r="R357" s="143">
        <v>0</v>
      </c>
      <c r="S357" s="144">
        <f t="shared" si="84"/>
        <v>0</v>
      </c>
      <c r="T357" s="145">
        <f t="shared" si="85"/>
        <v>0</v>
      </c>
      <c r="U357" s="146"/>
      <c r="V357" s="143">
        <v>0</v>
      </c>
      <c r="W357" s="143">
        <v>0</v>
      </c>
      <c r="X357" s="144">
        <f t="shared" si="86"/>
        <v>0</v>
      </c>
      <c r="Y357" s="145">
        <f t="shared" si="87"/>
        <v>0</v>
      </c>
      <c r="Z357" s="148"/>
      <c r="AA357" s="149">
        <v>0</v>
      </c>
      <c r="AB357" s="150"/>
      <c r="AC357" s="117">
        <v>0</v>
      </c>
      <c r="AD357" s="117">
        <v>0</v>
      </c>
      <c r="AE357" s="117">
        <v>0</v>
      </c>
      <c r="AF357" s="117">
        <v>0</v>
      </c>
      <c r="AG357" s="117">
        <v>0</v>
      </c>
      <c r="AH357" s="117">
        <v>0</v>
      </c>
      <c r="AI357" s="117">
        <v>32.15</v>
      </c>
      <c r="AJ357" s="117">
        <v>-31.19</v>
      </c>
      <c r="AK357" s="117">
        <v>-0.96</v>
      </c>
      <c r="AL357" s="117">
        <v>0</v>
      </c>
      <c r="AM357" s="117">
        <v>0</v>
      </c>
      <c r="AN357" s="117">
        <v>0</v>
      </c>
      <c r="AO357" s="150"/>
      <c r="AP357" s="117">
        <v>0</v>
      </c>
      <c r="AQ357" s="117">
        <v>0</v>
      </c>
      <c r="AR357" s="117">
        <v>0</v>
      </c>
      <c r="AS357" s="117">
        <v>0</v>
      </c>
      <c r="AT357" s="117">
        <v>0</v>
      </c>
      <c r="AU357" s="117">
        <v>0</v>
      </c>
      <c r="AV357" s="117">
        <v>0</v>
      </c>
      <c r="AW357" s="117">
        <v>0</v>
      </c>
      <c r="AX357" s="117">
        <v>0</v>
      </c>
      <c r="AY357" s="117">
        <v>0</v>
      </c>
      <c r="AZ357" s="117">
        <v>0</v>
      </c>
      <c r="BA357" s="117">
        <v>0</v>
      </c>
    </row>
    <row r="358" spans="1:53" s="138" customFormat="1" outlineLevel="2" x14ac:dyDescent="0.25">
      <c r="A358" s="138" t="s">
        <v>1113</v>
      </c>
      <c r="B358" s="139" t="s">
        <v>1114</v>
      </c>
      <c r="C358" s="140" t="s">
        <v>1115</v>
      </c>
      <c r="D358" s="141"/>
      <c r="E358" s="142"/>
      <c r="F358" s="143">
        <v>-8041.96</v>
      </c>
      <c r="G358" s="143">
        <v>939.07</v>
      </c>
      <c r="H358" s="144">
        <f t="shared" si="82"/>
        <v>-8981.0300000000007</v>
      </c>
      <c r="I358" s="145">
        <f t="shared" si="83"/>
        <v>-9.5637492412706191</v>
      </c>
      <c r="J358" s="146"/>
      <c r="K358" s="143">
        <v>-25079.33</v>
      </c>
      <c r="L358" s="143">
        <v>-34213.120000000003</v>
      </c>
      <c r="M358" s="144">
        <f t="shared" si="92"/>
        <v>9133.7900000000009</v>
      </c>
      <c r="N358" s="145">
        <f t="shared" si="93"/>
        <v>0.26696746745108307</v>
      </c>
      <c r="O358" s="147"/>
      <c r="P358" s="146"/>
      <c r="Q358" s="143">
        <v>-29044.210000000003</v>
      </c>
      <c r="R358" s="143">
        <v>-778672.97</v>
      </c>
      <c r="S358" s="144">
        <f t="shared" si="84"/>
        <v>749628.76</v>
      </c>
      <c r="T358" s="145">
        <f t="shared" si="85"/>
        <v>0.96270037471571668</v>
      </c>
      <c r="U358" s="146"/>
      <c r="V358" s="143">
        <v>-87322.41</v>
      </c>
      <c r="W358" s="143">
        <v>-778672.97</v>
      </c>
      <c r="X358" s="144">
        <f t="shared" si="86"/>
        <v>691350.55999999994</v>
      </c>
      <c r="Y358" s="145">
        <f t="shared" si="87"/>
        <v>0.88785740180502215</v>
      </c>
      <c r="Z358" s="148"/>
      <c r="AA358" s="149">
        <v>-744459.85</v>
      </c>
      <c r="AB358" s="150"/>
      <c r="AC358" s="117">
        <v>-35152.19</v>
      </c>
      <c r="AD358" s="117">
        <v>939.07</v>
      </c>
      <c r="AE358" s="117">
        <v>-47351.46</v>
      </c>
      <c r="AF358" s="117">
        <v>-1180.1100000000001</v>
      </c>
      <c r="AG358" s="117">
        <v>-3087.4700000000003</v>
      </c>
      <c r="AH358" s="117">
        <v>-6369.09</v>
      </c>
      <c r="AI358" s="117">
        <v>-2340.17</v>
      </c>
      <c r="AJ358" s="117">
        <v>-738.54</v>
      </c>
      <c r="AK358" s="117">
        <v>-6022.85</v>
      </c>
      <c r="AL358" s="117">
        <v>10151.1</v>
      </c>
      <c r="AM358" s="117">
        <v>-1339.6100000000001</v>
      </c>
      <c r="AN358" s="117">
        <v>-3964.88</v>
      </c>
      <c r="AO358" s="150"/>
      <c r="AP358" s="117">
        <v>-17037.37</v>
      </c>
      <c r="AQ358" s="117">
        <v>-8041.96</v>
      </c>
      <c r="AR358" s="117">
        <v>0</v>
      </c>
      <c r="AS358" s="117">
        <v>0</v>
      </c>
      <c r="AT358" s="117">
        <v>0</v>
      </c>
      <c r="AU358" s="117">
        <v>0</v>
      </c>
      <c r="AV358" s="117">
        <v>0</v>
      </c>
      <c r="AW358" s="117">
        <v>0</v>
      </c>
      <c r="AX358" s="117">
        <v>0</v>
      </c>
      <c r="AY358" s="117">
        <v>0</v>
      </c>
      <c r="AZ358" s="117">
        <v>0</v>
      </c>
      <c r="BA358" s="117">
        <v>0</v>
      </c>
    </row>
    <row r="359" spans="1:53" s="138" customFormat="1" outlineLevel="2" x14ac:dyDescent="0.25">
      <c r="A359" s="138" t="s">
        <v>1116</v>
      </c>
      <c r="B359" s="139" t="s">
        <v>1117</v>
      </c>
      <c r="C359" s="140" t="s">
        <v>1118</v>
      </c>
      <c r="D359" s="141"/>
      <c r="E359" s="142"/>
      <c r="F359" s="143">
        <v>127720.14</v>
      </c>
      <c r="G359" s="143">
        <v>-371740.33</v>
      </c>
      <c r="H359" s="144">
        <f t="shared" si="82"/>
        <v>499460.47000000003</v>
      </c>
      <c r="I359" s="145">
        <f t="shared" si="83"/>
        <v>1.3435735369363879</v>
      </c>
      <c r="J359" s="146"/>
      <c r="K359" s="143">
        <v>390940.41000000003</v>
      </c>
      <c r="L359" s="143">
        <v>-592301.15</v>
      </c>
      <c r="M359" s="144">
        <f t="shared" si="92"/>
        <v>983241.56</v>
      </c>
      <c r="N359" s="145">
        <f t="shared" si="93"/>
        <v>1.6600365540401196</v>
      </c>
      <c r="O359" s="147"/>
      <c r="P359" s="146"/>
      <c r="Q359" s="143">
        <v>428964.28</v>
      </c>
      <c r="R359" s="143">
        <v>-3522099.58</v>
      </c>
      <c r="S359" s="144">
        <f t="shared" si="84"/>
        <v>3951063.8600000003</v>
      </c>
      <c r="T359" s="145">
        <f t="shared" si="85"/>
        <v>1.1217922066814476</v>
      </c>
      <c r="U359" s="146"/>
      <c r="V359" s="143">
        <v>25332.340000000026</v>
      </c>
      <c r="W359" s="143">
        <v>-3522099.58</v>
      </c>
      <c r="X359" s="144">
        <f t="shared" si="86"/>
        <v>3547431.92</v>
      </c>
      <c r="Y359" s="145">
        <f t="shared" si="87"/>
        <v>1.0071923974392569</v>
      </c>
      <c r="Z359" s="148"/>
      <c r="AA359" s="149">
        <v>-2929798.43</v>
      </c>
      <c r="AB359" s="150"/>
      <c r="AC359" s="117">
        <v>-220560.82</v>
      </c>
      <c r="AD359" s="117">
        <v>-371740.33</v>
      </c>
      <c r="AE359" s="117">
        <v>-215918.35</v>
      </c>
      <c r="AF359" s="117">
        <v>158768.22</v>
      </c>
      <c r="AG359" s="117">
        <v>151998.1</v>
      </c>
      <c r="AH359" s="117">
        <v>-1547061.31</v>
      </c>
      <c r="AI359" s="117">
        <v>47112.520000000004</v>
      </c>
      <c r="AJ359" s="117">
        <v>260989.43</v>
      </c>
      <c r="AK359" s="117">
        <v>433360.27</v>
      </c>
      <c r="AL359" s="117">
        <v>181900.57</v>
      </c>
      <c r="AM359" s="117">
        <v>125218.61</v>
      </c>
      <c r="AN359" s="117">
        <v>38023.870000000003</v>
      </c>
      <c r="AO359" s="150"/>
      <c r="AP359" s="117">
        <v>263220.27</v>
      </c>
      <c r="AQ359" s="117">
        <v>127720.14</v>
      </c>
      <c r="AR359" s="117">
        <v>0</v>
      </c>
      <c r="AS359" s="117">
        <v>0</v>
      </c>
      <c r="AT359" s="117">
        <v>0</v>
      </c>
      <c r="AU359" s="117">
        <v>0</v>
      </c>
      <c r="AV359" s="117">
        <v>0</v>
      </c>
      <c r="AW359" s="117">
        <v>0</v>
      </c>
      <c r="AX359" s="117">
        <v>0</v>
      </c>
      <c r="AY359" s="117">
        <v>0</v>
      </c>
      <c r="AZ359" s="117">
        <v>0</v>
      </c>
      <c r="BA359" s="117">
        <v>0</v>
      </c>
    </row>
    <row r="360" spans="1:53" s="138" customFormat="1" outlineLevel="2" x14ac:dyDescent="0.25">
      <c r="A360" s="138" t="s">
        <v>1119</v>
      </c>
      <c r="B360" s="139" t="s">
        <v>1120</v>
      </c>
      <c r="C360" s="140" t="s">
        <v>1121</v>
      </c>
      <c r="D360" s="141"/>
      <c r="E360" s="142"/>
      <c r="F360" s="143">
        <v>596358.57999999996</v>
      </c>
      <c r="G360" s="143">
        <v>446825.32</v>
      </c>
      <c r="H360" s="144">
        <f t="shared" si="82"/>
        <v>149533.25999999995</v>
      </c>
      <c r="I360" s="145">
        <f t="shared" si="83"/>
        <v>0.33465708702452213</v>
      </c>
      <c r="J360" s="146"/>
      <c r="K360" s="143">
        <v>886519.05</v>
      </c>
      <c r="L360" s="143">
        <v>1049738.47</v>
      </c>
      <c r="M360" s="144">
        <f t="shared" si="92"/>
        <v>-163219.41999999993</v>
      </c>
      <c r="N360" s="145">
        <f t="shared" si="93"/>
        <v>-0.15548579447602787</v>
      </c>
      <c r="O360" s="147"/>
      <c r="P360" s="146"/>
      <c r="Q360" s="143">
        <v>1198313.79</v>
      </c>
      <c r="R360" s="143">
        <v>2139757.0099999998</v>
      </c>
      <c r="S360" s="144">
        <f t="shared" si="84"/>
        <v>-941443.21999999974</v>
      </c>
      <c r="T360" s="145">
        <f t="shared" si="85"/>
        <v>-0.43997669623243801</v>
      </c>
      <c r="U360" s="146"/>
      <c r="V360" s="143">
        <v>4710892.99</v>
      </c>
      <c r="W360" s="143">
        <v>6869052.8700000001</v>
      </c>
      <c r="X360" s="144">
        <f t="shared" si="86"/>
        <v>-2158159.88</v>
      </c>
      <c r="Y360" s="145">
        <f t="shared" si="87"/>
        <v>-0.31418594686111362</v>
      </c>
      <c r="Z360" s="148"/>
      <c r="AA360" s="149">
        <v>1090018.54</v>
      </c>
      <c r="AB360" s="150"/>
      <c r="AC360" s="117">
        <v>602913.15</v>
      </c>
      <c r="AD360" s="117">
        <v>446825.32</v>
      </c>
      <c r="AE360" s="117">
        <v>418406.56</v>
      </c>
      <c r="AF360" s="117">
        <v>363550.65</v>
      </c>
      <c r="AG360" s="117">
        <v>235219.59</v>
      </c>
      <c r="AH360" s="117">
        <v>522733.46</v>
      </c>
      <c r="AI360" s="117">
        <v>220398.81</v>
      </c>
      <c r="AJ360" s="117">
        <v>327762.45</v>
      </c>
      <c r="AK360" s="117">
        <v>442544.99</v>
      </c>
      <c r="AL360" s="117">
        <v>666212.72</v>
      </c>
      <c r="AM360" s="117">
        <v>315749.97000000003</v>
      </c>
      <c r="AN360" s="117">
        <v>311794.74</v>
      </c>
      <c r="AO360" s="150"/>
      <c r="AP360" s="117">
        <v>290160.47000000003</v>
      </c>
      <c r="AQ360" s="117">
        <v>596358.57999999996</v>
      </c>
      <c r="AR360" s="117">
        <v>54870.700000000004</v>
      </c>
      <c r="AS360" s="117">
        <v>0</v>
      </c>
      <c r="AT360" s="117">
        <v>0</v>
      </c>
      <c r="AU360" s="117">
        <v>0</v>
      </c>
      <c r="AV360" s="117">
        <v>0</v>
      </c>
      <c r="AW360" s="117">
        <v>0</v>
      </c>
      <c r="AX360" s="117">
        <v>0</v>
      </c>
      <c r="AY360" s="117">
        <v>0</v>
      </c>
      <c r="AZ360" s="117">
        <v>0</v>
      </c>
      <c r="BA360" s="117">
        <v>0</v>
      </c>
    </row>
    <row r="361" spans="1:53" s="138" customFormat="1" outlineLevel="2" x14ac:dyDescent="0.25">
      <c r="A361" s="138" t="s">
        <v>1122</v>
      </c>
      <c r="B361" s="139" t="s">
        <v>1123</v>
      </c>
      <c r="C361" s="140" t="s">
        <v>1124</v>
      </c>
      <c r="D361" s="141"/>
      <c r="E361" s="142"/>
      <c r="F361" s="143">
        <v>151563.68</v>
      </c>
      <c r="G361" s="143">
        <v>133872.75</v>
      </c>
      <c r="H361" s="144">
        <f t="shared" si="82"/>
        <v>17690.929999999993</v>
      </c>
      <c r="I361" s="145">
        <f t="shared" si="83"/>
        <v>0.13214735635146058</v>
      </c>
      <c r="J361" s="146"/>
      <c r="K361" s="143">
        <v>256313.42</v>
      </c>
      <c r="L361" s="143">
        <v>227218.89</v>
      </c>
      <c r="M361" s="144">
        <f t="shared" si="92"/>
        <v>29094.53</v>
      </c>
      <c r="N361" s="145">
        <f t="shared" si="93"/>
        <v>0.12804626411122771</v>
      </c>
      <c r="O361" s="147"/>
      <c r="P361" s="146"/>
      <c r="Q361" s="143">
        <v>505004.44000000006</v>
      </c>
      <c r="R361" s="143">
        <v>375811.43000000005</v>
      </c>
      <c r="S361" s="144">
        <f t="shared" si="84"/>
        <v>129193.01000000001</v>
      </c>
      <c r="T361" s="145">
        <f t="shared" si="85"/>
        <v>0.34377083741173065</v>
      </c>
      <c r="U361" s="146"/>
      <c r="V361" s="143">
        <v>1834246.21</v>
      </c>
      <c r="W361" s="143">
        <v>1513318.4900000002</v>
      </c>
      <c r="X361" s="144">
        <f t="shared" si="86"/>
        <v>320927.71999999974</v>
      </c>
      <c r="Y361" s="145">
        <f t="shared" si="87"/>
        <v>0.21206885538020465</v>
      </c>
      <c r="Z361" s="148"/>
      <c r="AA361" s="149">
        <v>148592.54</v>
      </c>
      <c r="AB361" s="150"/>
      <c r="AC361" s="117">
        <v>93346.14</v>
      </c>
      <c r="AD361" s="117">
        <v>133872.75</v>
      </c>
      <c r="AE361" s="117">
        <v>186083.27</v>
      </c>
      <c r="AF361" s="117">
        <v>105283.65000000001</v>
      </c>
      <c r="AG361" s="117">
        <v>82338.509999999995</v>
      </c>
      <c r="AH361" s="117">
        <v>173223.64</v>
      </c>
      <c r="AI361" s="117">
        <v>157707.64000000001</v>
      </c>
      <c r="AJ361" s="117">
        <v>154729.81</v>
      </c>
      <c r="AK361" s="117">
        <v>183780.03</v>
      </c>
      <c r="AL361" s="117">
        <v>160297.69</v>
      </c>
      <c r="AM361" s="117">
        <v>125797.53</v>
      </c>
      <c r="AN361" s="117">
        <v>248691.02000000002</v>
      </c>
      <c r="AO361" s="150"/>
      <c r="AP361" s="117">
        <v>104749.74</v>
      </c>
      <c r="AQ361" s="117">
        <v>151563.68</v>
      </c>
      <c r="AR361" s="117">
        <v>21754.75</v>
      </c>
      <c r="AS361" s="117">
        <v>0</v>
      </c>
      <c r="AT361" s="117">
        <v>0</v>
      </c>
      <c r="AU361" s="117">
        <v>0</v>
      </c>
      <c r="AV361" s="117">
        <v>0</v>
      </c>
      <c r="AW361" s="117">
        <v>0</v>
      </c>
      <c r="AX361" s="117">
        <v>0</v>
      </c>
      <c r="AY361" s="117">
        <v>0</v>
      </c>
      <c r="AZ361" s="117">
        <v>0</v>
      </c>
      <c r="BA361" s="117">
        <v>0</v>
      </c>
    </row>
    <row r="362" spans="1:53" s="211" customFormat="1" outlineLevel="1" x14ac:dyDescent="0.25">
      <c r="A362" s="211" t="s">
        <v>1125</v>
      </c>
      <c r="B362" s="212"/>
      <c r="C362" s="213" t="s">
        <v>1126</v>
      </c>
      <c r="D362" s="229"/>
      <c r="E362" s="229"/>
      <c r="F362" s="215">
        <v>2012508.43</v>
      </c>
      <c r="G362" s="215">
        <v>2267929.59</v>
      </c>
      <c r="H362" s="236">
        <f t="shared" si="82"/>
        <v>-255421.15999999992</v>
      </c>
      <c r="I362" s="237">
        <f t="shared" si="83"/>
        <v>-0.11262305546266978</v>
      </c>
      <c r="J362" s="231"/>
      <c r="K362" s="215">
        <v>4236839.3500000006</v>
      </c>
      <c r="L362" s="215">
        <v>4734542.2</v>
      </c>
      <c r="M362" s="236">
        <f t="shared" si="92"/>
        <v>-497702.84999999963</v>
      </c>
      <c r="N362" s="237">
        <f t="shared" si="93"/>
        <v>-0.10512164196149727</v>
      </c>
      <c r="O362" s="247"/>
      <c r="P362" s="233"/>
      <c r="Q362" s="215">
        <v>6689041.9199999999</v>
      </c>
      <c r="R362" s="215">
        <v>5405884.0199999996</v>
      </c>
      <c r="S362" s="236">
        <f t="shared" si="84"/>
        <v>1283157.9000000004</v>
      </c>
      <c r="T362" s="237">
        <f t="shared" si="85"/>
        <v>0.23736319448451662</v>
      </c>
      <c r="U362" s="233"/>
      <c r="V362" s="215">
        <v>25465787.946000002</v>
      </c>
      <c r="W362" s="215">
        <v>32715137.989999998</v>
      </c>
      <c r="X362" s="236">
        <f t="shared" si="86"/>
        <v>-7249350.043999996</v>
      </c>
      <c r="Y362" s="232">
        <f t="shared" si="87"/>
        <v>-0.22159007998731037</v>
      </c>
      <c r="AA362" s="215">
        <v>671341.81999999983</v>
      </c>
      <c r="AB362" s="235"/>
      <c r="AC362" s="215">
        <v>2466612.6100000003</v>
      </c>
      <c r="AD362" s="215">
        <v>2267929.59</v>
      </c>
      <c r="AE362" s="215">
        <v>2487096.7399999998</v>
      </c>
      <c r="AF362" s="215">
        <v>2421354.3499999996</v>
      </c>
      <c r="AG362" s="215">
        <v>1675857.4960000003</v>
      </c>
      <c r="AH362" s="215">
        <v>349233.61000000004</v>
      </c>
      <c r="AI362" s="215">
        <v>1375887.6400000001</v>
      </c>
      <c r="AJ362" s="215">
        <v>1470843.1</v>
      </c>
      <c r="AK362" s="215">
        <v>3107126.02</v>
      </c>
      <c r="AL362" s="215">
        <v>4179694.35</v>
      </c>
      <c r="AM362" s="215">
        <v>1709652.72</v>
      </c>
      <c r="AN362" s="215">
        <v>2452202.5700000003</v>
      </c>
      <c r="AO362" s="235"/>
      <c r="AP362" s="215">
        <v>2224330.9200000004</v>
      </c>
      <c r="AQ362" s="215">
        <v>2012508.43</v>
      </c>
      <c r="AR362" s="215">
        <v>131419.43</v>
      </c>
      <c r="AS362" s="215">
        <v>0</v>
      </c>
      <c r="AT362" s="215">
        <v>0</v>
      </c>
      <c r="AU362" s="215">
        <v>0</v>
      </c>
      <c r="AV362" s="215">
        <v>0</v>
      </c>
      <c r="AW362" s="215">
        <v>0</v>
      </c>
      <c r="AX362" s="215">
        <v>0</v>
      </c>
      <c r="AY362" s="215">
        <v>0</v>
      </c>
      <c r="AZ362" s="215">
        <v>0</v>
      </c>
      <c r="BA362" s="215">
        <v>0</v>
      </c>
    </row>
    <row r="363" spans="1:53" s="211" customFormat="1" ht="0.75" customHeight="1" outlineLevel="2" x14ac:dyDescent="0.25">
      <c r="B363" s="212"/>
      <c r="C363" s="213"/>
      <c r="D363" s="229"/>
      <c r="E363" s="229"/>
      <c r="F363" s="215"/>
      <c r="G363" s="215"/>
      <c r="H363" s="215"/>
      <c r="I363" s="230"/>
      <c r="J363" s="231"/>
      <c r="K363" s="215"/>
      <c r="L363" s="215"/>
      <c r="M363" s="236"/>
      <c r="N363" s="237"/>
      <c r="O363" s="247"/>
      <c r="P363" s="233"/>
      <c r="Q363" s="215"/>
      <c r="R363" s="215"/>
      <c r="S363" s="215"/>
      <c r="T363" s="230"/>
      <c r="U363" s="233"/>
      <c r="V363" s="215"/>
      <c r="W363" s="215"/>
      <c r="X363" s="215"/>
      <c r="Y363" s="234"/>
      <c r="AA363" s="215"/>
      <c r="AB363" s="235"/>
      <c r="AC363" s="215"/>
      <c r="AD363" s="215"/>
      <c r="AE363" s="215"/>
      <c r="AF363" s="215"/>
      <c r="AG363" s="215"/>
      <c r="AH363" s="215"/>
      <c r="AI363" s="215"/>
      <c r="AJ363" s="215"/>
      <c r="AK363" s="215"/>
      <c r="AL363" s="215"/>
      <c r="AM363" s="215"/>
      <c r="AN363" s="215"/>
      <c r="AO363" s="235"/>
      <c r="AP363" s="215"/>
      <c r="AQ363" s="215"/>
      <c r="AR363" s="215"/>
      <c r="AS363" s="215"/>
      <c r="AT363" s="215"/>
      <c r="AU363" s="215"/>
      <c r="AV363" s="215"/>
      <c r="AW363" s="215"/>
      <c r="AX363" s="215"/>
      <c r="AY363" s="215"/>
      <c r="AZ363" s="215"/>
      <c r="BA363" s="215"/>
    </row>
    <row r="364" spans="1:53" s="138" customFormat="1" outlineLevel="2" x14ac:dyDescent="0.25">
      <c r="A364" s="138" t="s">
        <v>1127</v>
      </c>
      <c r="B364" s="139" t="s">
        <v>1128</v>
      </c>
      <c r="C364" s="140" t="s">
        <v>1101</v>
      </c>
      <c r="D364" s="141"/>
      <c r="E364" s="142"/>
      <c r="F364" s="143">
        <v>0</v>
      </c>
      <c r="G364" s="143">
        <v>0</v>
      </c>
      <c r="H364" s="144">
        <f>+F364-G364</f>
        <v>0</v>
      </c>
      <c r="I364" s="145">
        <f>IF(G364&lt;0,IF(H364=0,0,IF(OR(G364=0,F364=0),"N.M.",IF(ABS(H364/G364)&gt;=10,"N.M.",H364/(-G364)))),IF(H364=0,0,IF(OR(G364=0,F364=0),"N.M.",IF(ABS(H364/G364)&gt;=10,"N.M.",H364/G364))))</f>
        <v>0</v>
      </c>
      <c r="J364" s="146"/>
      <c r="K364" s="143">
        <v>0</v>
      </c>
      <c r="L364" s="143">
        <v>0</v>
      </c>
      <c r="M364" s="144">
        <f>+K364-L364</f>
        <v>0</v>
      </c>
      <c r="N364" s="145">
        <f>IF(L364&lt;0,IF(M364=0,0,IF(OR(L364=0,K364=0),"N.M.",IF(ABS(M364/L364)&gt;=10,"N.M.",M364/(-L364)))),IF(M364=0,0,IF(OR(L364=0,K364=0),"N.M.",IF(ABS(M364/L364)&gt;=10,"N.M.",M364/L364))))</f>
        <v>0</v>
      </c>
      <c r="O364" s="147"/>
      <c r="P364" s="146"/>
      <c r="Q364" s="143">
        <v>0</v>
      </c>
      <c r="R364" s="143">
        <v>0</v>
      </c>
      <c r="S364" s="144">
        <f>+Q364-R364</f>
        <v>0</v>
      </c>
      <c r="T364" s="145">
        <f>IF(R364&lt;0,IF(S364=0,0,IF(OR(R364=0,Q364=0),"N.M.",IF(ABS(S364/R364)&gt;=10,"N.M.",S364/(-R364)))),IF(S364=0,0,IF(OR(R364=0,Q364=0),"N.M.",IF(ABS(S364/R364)&gt;=10,"N.M.",S364/R364))))</f>
        <v>0</v>
      </c>
      <c r="U364" s="146"/>
      <c r="V364" s="143">
        <v>0</v>
      </c>
      <c r="W364" s="143">
        <v>-172.52</v>
      </c>
      <c r="X364" s="144">
        <f>+V364-W364</f>
        <v>172.52</v>
      </c>
      <c r="Y364" s="145" t="str">
        <f>IF(W364&lt;0,IF(X364=0,0,IF(OR(W364=0,V364=0),"N.M.",IF(ABS(X364/W364)&gt;=10,"N.M.",X364/(-W364)))),IF(X364=0,0,IF(OR(W364=0,V364=0),"N.M.",IF(ABS(X364/W364)&gt;=10,"N.M.",X364/W364))))</f>
        <v>N.M.</v>
      </c>
      <c r="Z364" s="148"/>
      <c r="AA364" s="149">
        <v>0</v>
      </c>
      <c r="AB364" s="150"/>
      <c r="AC364" s="117">
        <v>0</v>
      </c>
      <c r="AD364" s="117">
        <v>0</v>
      </c>
      <c r="AE364" s="117">
        <v>0</v>
      </c>
      <c r="AF364" s="117">
        <v>0</v>
      </c>
      <c r="AG364" s="117">
        <v>0</v>
      </c>
      <c r="AH364" s="117">
        <v>0</v>
      </c>
      <c r="AI364" s="117">
        <v>0</v>
      </c>
      <c r="AJ364" s="117">
        <v>0</v>
      </c>
      <c r="AK364" s="117">
        <v>0</v>
      </c>
      <c r="AL364" s="117">
        <v>0</v>
      </c>
      <c r="AM364" s="117">
        <v>0</v>
      </c>
      <c r="AN364" s="117">
        <v>0</v>
      </c>
      <c r="AO364" s="150"/>
      <c r="AP364" s="117">
        <v>0</v>
      </c>
      <c r="AQ364" s="117">
        <v>0</v>
      </c>
      <c r="AR364" s="117">
        <v>0</v>
      </c>
      <c r="AS364" s="117">
        <v>0</v>
      </c>
      <c r="AT364" s="117">
        <v>0</v>
      </c>
      <c r="AU364" s="117">
        <v>0</v>
      </c>
      <c r="AV364" s="117">
        <v>0</v>
      </c>
      <c r="AW364" s="117">
        <v>0</v>
      </c>
      <c r="AX364" s="117">
        <v>0</v>
      </c>
      <c r="AY364" s="117">
        <v>0</v>
      </c>
      <c r="AZ364" s="117">
        <v>0</v>
      </c>
      <c r="BA364" s="117">
        <v>0</v>
      </c>
    </row>
    <row r="365" spans="1:53" s="211" customFormat="1" outlineLevel="1" x14ac:dyDescent="0.25">
      <c r="A365" s="211" t="s">
        <v>1129</v>
      </c>
      <c r="B365" s="212"/>
      <c r="C365" s="213" t="s">
        <v>1130</v>
      </c>
      <c r="D365" s="229"/>
      <c r="E365" s="229"/>
      <c r="F365" s="215">
        <v>0</v>
      </c>
      <c r="G365" s="215">
        <v>0</v>
      </c>
      <c r="H365" s="236">
        <f>+F365-G365</f>
        <v>0</v>
      </c>
      <c r="I365" s="237">
        <f>IF(G365&lt;0,IF(H365=0,0,IF(OR(G365=0,F365=0),"N.M.",IF(ABS(H365/G365)&gt;=10,"N.M.",H365/(-G365)))),IF(H365=0,0,IF(OR(G365=0,F365=0),"N.M.",IF(ABS(H365/G365)&gt;=10,"N.M.",H365/G365))))</f>
        <v>0</v>
      </c>
      <c r="J365" s="231"/>
      <c r="K365" s="215">
        <v>0</v>
      </c>
      <c r="L365" s="215">
        <v>0</v>
      </c>
      <c r="M365" s="236">
        <f>+K365-L365</f>
        <v>0</v>
      </c>
      <c r="N365" s="237">
        <f>IF(L365&lt;0,IF(M365=0,0,IF(OR(L365=0,K365=0),"N.M.",IF(ABS(M365/L365)&gt;=10,"N.M.",M365/(-L365)))),IF(M365=0,0,IF(OR(L365=0,K365=0),"N.M.",IF(ABS(M365/L365)&gt;=10,"N.M.",M365/L365))))</f>
        <v>0</v>
      </c>
      <c r="O365" s="247"/>
      <c r="P365" s="233"/>
      <c r="Q365" s="215">
        <v>0</v>
      </c>
      <c r="R365" s="215">
        <v>0</v>
      </c>
      <c r="S365" s="236">
        <f>+Q365-R365</f>
        <v>0</v>
      </c>
      <c r="T365" s="237">
        <f>IF(R365&lt;0,IF(S365=0,0,IF(OR(R365=0,Q365=0),"N.M.",IF(ABS(S365/R365)&gt;=10,"N.M.",S365/(-R365)))),IF(S365=0,0,IF(OR(R365=0,Q365=0),"N.M.",IF(ABS(S365/R365)&gt;=10,"N.M.",S365/R365))))</f>
        <v>0</v>
      </c>
      <c r="U365" s="233"/>
      <c r="V365" s="215">
        <v>0</v>
      </c>
      <c r="W365" s="215">
        <v>-172.52</v>
      </c>
      <c r="X365" s="236">
        <f>+V365-W365</f>
        <v>172.52</v>
      </c>
      <c r="Y365" s="232" t="str">
        <f>IF(W365&lt;0,IF(X365=0,0,IF(OR(W365=0,V365=0),"N.M.",IF(ABS(X365/W365)&gt;=10,"N.M.",X365/(-W365)))),IF(X365=0,0,IF(OR(W365=0,V365=0),"N.M.",IF(ABS(X365/W365)&gt;=10,"N.M.",X365/W365))))</f>
        <v>N.M.</v>
      </c>
      <c r="AA365" s="215">
        <v>0</v>
      </c>
      <c r="AB365" s="235"/>
      <c r="AC365" s="215">
        <v>0</v>
      </c>
      <c r="AD365" s="215">
        <v>0</v>
      </c>
      <c r="AE365" s="215">
        <v>0</v>
      </c>
      <c r="AF365" s="215">
        <v>0</v>
      </c>
      <c r="AG365" s="215">
        <v>0</v>
      </c>
      <c r="AH365" s="215">
        <v>0</v>
      </c>
      <c r="AI365" s="215">
        <v>0</v>
      </c>
      <c r="AJ365" s="215">
        <v>0</v>
      </c>
      <c r="AK365" s="215">
        <v>0</v>
      </c>
      <c r="AL365" s="215">
        <v>0</v>
      </c>
      <c r="AM365" s="215">
        <v>0</v>
      </c>
      <c r="AN365" s="215">
        <v>0</v>
      </c>
      <c r="AO365" s="235"/>
      <c r="AP365" s="215">
        <v>0</v>
      </c>
      <c r="AQ365" s="215">
        <v>0</v>
      </c>
      <c r="AR365" s="215">
        <v>0</v>
      </c>
      <c r="AS365" s="215">
        <v>0</v>
      </c>
      <c r="AT365" s="215">
        <v>0</v>
      </c>
      <c r="AU365" s="215">
        <v>0</v>
      </c>
      <c r="AV365" s="215">
        <v>0</v>
      </c>
      <c r="AW365" s="215">
        <v>0</v>
      </c>
      <c r="AX365" s="215">
        <v>0</v>
      </c>
      <c r="AY365" s="215">
        <v>0</v>
      </c>
      <c r="AZ365" s="215">
        <v>0</v>
      </c>
      <c r="BA365" s="215">
        <v>0</v>
      </c>
    </row>
    <row r="366" spans="1:53" s="211" customFormat="1" ht="0.75" customHeight="1" outlineLevel="2" x14ac:dyDescent="0.25">
      <c r="B366" s="212"/>
      <c r="C366" s="213"/>
      <c r="D366" s="229"/>
      <c r="E366" s="229"/>
      <c r="F366" s="215"/>
      <c r="G366" s="215"/>
      <c r="H366" s="215"/>
      <c r="I366" s="230"/>
      <c r="J366" s="231"/>
      <c r="K366" s="215"/>
      <c r="L366" s="215"/>
      <c r="M366" s="215"/>
      <c r="N366" s="237"/>
      <c r="O366" s="247"/>
      <c r="P366" s="233"/>
      <c r="Q366" s="215"/>
      <c r="R366" s="215"/>
      <c r="S366" s="215"/>
      <c r="T366" s="230"/>
      <c r="U366" s="233"/>
      <c r="V366" s="215"/>
      <c r="W366" s="215"/>
      <c r="X366" s="215"/>
      <c r="Y366" s="234"/>
      <c r="AA366" s="215"/>
      <c r="AB366" s="235"/>
      <c r="AC366" s="215"/>
      <c r="AD366" s="215"/>
      <c r="AE366" s="215"/>
      <c r="AF366" s="215"/>
      <c r="AG366" s="215"/>
      <c r="AH366" s="215"/>
      <c r="AI366" s="215"/>
      <c r="AJ366" s="215"/>
      <c r="AK366" s="215"/>
      <c r="AL366" s="215"/>
      <c r="AM366" s="215"/>
      <c r="AN366" s="215"/>
      <c r="AO366" s="235"/>
      <c r="AP366" s="215"/>
      <c r="AQ366" s="215"/>
      <c r="AR366" s="215"/>
      <c r="AS366" s="215"/>
      <c r="AT366" s="215"/>
      <c r="AU366" s="215"/>
      <c r="AV366" s="215"/>
      <c r="AW366" s="215"/>
      <c r="AX366" s="215"/>
      <c r="AY366" s="215"/>
      <c r="AZ366" s="215"/>
      <c r="BA366" s="215"/>
    </row>
    <row r="367" spans="1:53" s="211" customFormat="1" outlineLevel="1" x14ac:dyDescent="0.25">
      <c r="A367" s="211" t="s">
        <v>1131</v>
      </c>
      <c r="B367" s="212"/>
      <c r="C367" s="213" t="s">
        <v>1132</v>
      </c>
      <c r="D367" s="229"/>
      <c r="E367" s="229"/>
      <c r="F367" s="215">
        <v>0</v>
      </c>
      <c r="G367" s="215">
        <v>0</v>
      </c>
      <c r="H367" s="236">
        <f>+F367-G367</f>
        <v>0</v>
      </c>
      <c r="I367" s="237">
        <f>IF(G367&lt;0,IF(H367=0,0,IF(OR(G367=0,F367=0),"N.M.",IF(ABS(H367/G367)&gt;=10,"N.M.",H367/(-G367)))),IF(H367=0,0,IF(OR(G367=0,F367=0),"N.M.",IF(ABS(H367/G367)&gt;=10,"N.M.",H367/G367))))</f>
        <v>0</v>
      </c>
      <c r="J367" s="231"/>
      <c r="K367" s="215">
        <v>0</v>
      </c>
      <c r="L367" s="215">
        <v>0</v>
      </c>
      <c r="M367" s="236">
        <f>+K367-L367</f>
        <v>0</v>
      </c>
      <c r="N367" s="237">
        <f>IF(L367&lt;0,IF(M367=0,0,IF(OR(L367=0,K367=0),"N.M.",IF(ABS(M367/L367)&gt;=10,"N.M.",M367/(-L367)))),IF(M367=0,0,IF(OR(L367=0,K367=0),"N.M.",IF(ABS(M367/L367)&gt;=10,"N.M.",M367/L367))))</f>
        <v>0</v>
      </c>
      <c r="O367" s="247"/>
      <c r="P367" s="233"/>
      <c r="Q367" s="215">
        <v>0</v>
      </c>
      <c r="R367" s="215">
        <v>0</v>
      </c>
      <c r="S367" s="236">
        <f>+Q367-R367</f>
        <v>0</v>
      </c>
      <c r="T367" s="237">
        <f>IF(R367&lt;0,IF(S367=0,0,IF(OR(R367=0,Q367=0),"N.M.",IF(ABS(S367/R367)&gt;=10,"N.M.",S367/(-R367)))),IF(S367=0,0,IF(OR(R367=0,Q367=0),"N.M.",IF(ABS(S367/R367)&gt;=10,"N.M.",S367/R367))))</f>
        <v>0</v>
      </c>
      <c r="U367" s="233"/>
      <c r="V367" s="215">
        <v>0</v>
      </c>
      <c r="W367" s="215">
        <v>0</v>
      </c>
      <c r="X367" s="236">
        <f>+V367-W367</f>
        <v>0</v>
      </c>
      <c r="Y367" s="232">
        <f>IF(W367&lt;0,IF(X367=0,0,IF(OR(W367=0,V367=0),"N.M.",IF(ABS(X367/W367)&gt;=10,"N.M.",X367/(-W367)))),IF(X367=0,0,IF(OR(W367=0,V367=0),"N.M.",IF(ABS(X367/W367)&gt;=10,"N.M.",X367/W367))))</f>
        <v>0</v>
      </c>
      <c r="AA367" s="215">
        <v>0</v>
      </c>
      <c r="AB367" s="235"/>
      <c r="AC367" s="215">
        <v>0</v>
      </c>
      <c r="AD367" s="215">
        <v>0</v>
      </c>
      <c r="AE367" s="215">
        <v>0</v>
      </c>
      <c r="AF367" s="215">
        <v>0</v>
      </c>
      <c r="AG367" s="215">
        <v>0</v>
      </c>
      <c r="AH367" s="215">
        <v>0</v>
      </c>
      <c r="AI367" s="215">
        <v>0</v>
      </c>
      <c r="AJ367" s="215">
        <v>0</v>
      </c>
      <c r="AK367" s="215">
        <v>0</v>
      </c>
      <c r="AL367" s="215">
        <v>0</v>
      </c>
      <c r="AM367" s="215">
        <v>0</v>
      </c>
      <c r="AN367" s="215">
        <v>0</v>
      </c>
      <c r="AO367" s="235"/>
      <c r="AP367" s="215">
        <v>0</v>
      </c>
      <c r="AQ367" s="215">
        <v>0</v>
      </c>
      <c r="AR367" s="215">
        <v>0</v>
      </c>
      <c r="AS367" s="215">
        <v>0</v>
      </c>
      <c r="AT367" s="215">
        <v>0</v>
      </c>
      <c r="AU367" s="215">
        <v>0</v>
      </c>
      <c r="AV367" s="215">
        <v>0</v>
      </c>
      <c r="AW367" s="215">
        <v>0</v>
      </c>
      <c r="AX367" s="215">
        <v>0</v>
      </c>
      <c r="AY367" s="215">
        <v>0</v>
      </c>
      <c r="AZ367" s="215">
        <v>0</v>
      </c>
      <c r="BA367" s="215">
        <v>0</v>
      </c>
    </row>
    <row r="368" spans="1:53" s="211" customFormat="1" ht="0.75" customHeight="1" outlineLevel="2" x14ac:dyDescent="0.25">
      <c r="B368" s="212"/>
      <c r="C368" s="213"/>
      <c r="D368" s="229"/>
      <c r="E368" s="229"/>
      <c r="F368" s="215"/>
      <c r="G368" s="215"/>
      <c r="H368" s="215"/>
      <c r="I368" s="230"/>
      <c r="J368" s="231"/>
      <c r="K368" s="215"/>
      <c r="L368" s="215"/>
      <c r="M368" s="215"/>
      <c r="N368" s="237"/>
      <c r="O368" s="247"/>
      <c r="P368" s="233"/>
      <c r="Q368" s="215"/>
      <c r="R368" s="215"/>
      <c r="S368" s="215"/>
      <c r="T368" s="230"/>
      <c r="U368" s="233"/>
      <c r="V368" s="215"/>
      <c r="W368" s="215"/>
      <c r="X368" s="215"/>
      <c r="Y368" s="234"/>
      <c r="AA368" s="215"/>
      <c r="AB368" s="235"/>
      <c r="AC368" s="215"/>
      <c r="AD368" s="215"/>
      <c r="AE368" s="215"/>
      <c r="AF368" s="215"/>
      <c r="AG368" s="215"/>
      <c r="AH368" s="215"/>
      <c r="AI368" s="215"/>
      <c r="AJ368" s="215"/>
      <c r="AK368" s="215"/>
      <c r="AL368" s="215"/>
      <c r="AM368" s="215"/>
      <c r="AN368" s="215"/>
      <c r="AO368" s="235"/>
      <c r="AP368" s="215"/>
      <c r="AQ368" s="215"/>
      <c r="AR368" s="215"/>
      <c r="AS368" s="215"/>
      <c r="AT368" s="215"/>
      <c r="AU368" s="215"/>
      <c r="AV368" s="215"/>
      <c r="AW368" s="215"/>
      <c r="AX368" s="215"/>
      <c r="AY368" s="215"/>
      <c r="AZ368" s="215"/>
      <c r="BA368" s="215"/>
    </row>
    <row r="369" spans="1:53" s="138" customFormat="1" outlineLevel="2" x14ac:dyDescent="0.25">
      <c r="A369" s="138" t="s">
        <v>1133</v>
      </c>
      <c r="B369" s="139" t="s">
        <v>1134</v>
      </c>
      <c r="C369" s="140" t="s">
        <v>1135</v>
      </c>
      <c r="D369" s="141"/>
      <c r="E369" s="142"/>
      <c r="F369" s="143">
        <v>0</v>
      </c>
      <c r="G369" s="143">
        <v>0</v>
      </c>
      <c r="H369" s="144">
        <f>+F369-G369</f>
        <v>0</v>
      </c>
      <c r="I369" s="145">
        <f>IF(G369&lt;0,IF(H369=0,0,IF(OR(G369=0,F369=0),"N.M.",IF(ABS(H369/G369)&gt;=10,"N.M.",H369/(-G369)))),IF(H369=0,0,IF(OR(G369=0,F369=0),"N.M.",IF(ABS(H369/G369)&gt;=10,"N.M.",H369/G369))))</f>
        <v>0</v>
      </c>
      <c r="J369" s="146"/>
      <c r="K369" s="143">
        <v>0</v>
      </c>
      <c r="L369" s="143">
        <v>0</v>
      </c>
      <c r="M369" s="144">
        <f>+K369-L369</f>
        <v>0</v>
      </c>
      <c r="N369" s="145">
        <f>IF(L369&lt;0,IF(M369=0,0,IF(OR(L369=0,K369=0),"N.M.",IF(ABS(M369/L369)&gt;=10,"N.M.",M369/(-L369)))),IF(M369=0,0,IF(OR(L369=0,K369=0),"N.M.",IF(ABS(M369/L369)&gt;=10,"N.M.",M369/L369))))</f>
        <v>0</v>
      </c>
      <c r="O369" s="147"/>
      <c r="P369" s="146"/>
      <c r="Q369" s="143">
        <v>0</v>
      </c>
      <c r="R369" s="143">
        <v>0</v>
      </c>
      <c r="S369" s="144">
        <f>+Q369-R369</f>
        <v>0</v>
      </c>
      <c r="T369" s="145">
        <f>IF(R369&lt;0,IF(S369=0,0,IF(OR(R369=0,Q369=0),"N.M.",IF(ABS(S369/R369)&gt;=10,"N.M.",S369/(-R369)))),IF(S369=0,0,IF(OR(R369=0,Q369=0),"N.M.",IF(ABS(S369/R369)&gt;=10,"N.M.",S369/R369))))</f>
        <v>0</v>
      </c>
      <c r="U369" s="146"/>
      <c r="V369" s="143">
        <v>0</v>
      </c>
      <c r="W369" s="143">
        <v>494.29</v>
      </c>
      <c r="X369" s="144">
        <f>+V369-W369</f>
        <v>-494.29</v>
      </c>
      <c r="Y369" s="145" t="str">
        <f>IF(W369&lt;0,IF(X369=0,0,IF(OR(W369=0,V369=0),"N.M.",IF(ABS(X369/W369)&gt;=10,"N.M.",X369/(-W369)))),IF(X369=0,0,IF(OR(W369=0,V369=0),"N.M.",IF(ABS(X369/W369)&gt;=10,"N.M.",X369/W369))))</f>
        <v>N.M.</v>
      </c>
      <c r="Z369" s="148"/>
      <c r="AA369" s="149">
        <v>0</v>
      </c>
      <c r="AB369" s="150"/>
      <c r="AC369" s="117">
        <v>0</v>
      </c>
      <c r="AD369" s="117">
        <v>0</v>
      </c>
      <c r="AE369" s="117">
        <v>0</v>
      </c>
      <c r="AF369" s="117">
        <v>0</v>
      </c>
      <c r="AG369" s="117">
        <v>0</v>
      </c>
      <c r="AH369" s="117">
        <v>0</v>
      </c>
      <c r="AI369" s="117">
        <v>0</v>
      </c>
      <c r="AJ369" s="117">
        <v>0</v>
      </c>
      <c r="AK369" s="117">
        <v>0</v>
      </c>
      <c r="AL369" s="117">
        <v>0</v>
      </c>
      <c r="AM369" s="117">
        <v>0</v>
      </c>
      <c r="AN369" s="117">
        <v>0</v>
      </c>
      <c r="AO369" s="150"/>
      <c r="AP369" s="117">
        <v>0</v>
      </c>
      <c r="AQ369" s="117">
        <v>0</v>
      </c>
      <c r="AR369" s="117">
        <v>0</v>
      </c>
      <c r="AS369" s="117">
        <v>0</v>
      </c>
      <c r="AT369" s="117">
        <v>0</v>
      </c>
      <c r="AU369" s="117">
        <v>0</v>
      </c>
      <c r="AV369" s="117">
        <v>0</v>
      </c>
      <c r="AW369" s="117">
        <v>0</v>
      </c>
      <c r="AX369" s="117">
        <v>0</v>
      </c>
      <c r="AY369" s="117">
        <v>0</v>
      </c>
      <c r="AZ369" s="117">
        <v>0</v>
      </c>
      <c r="BA369" s="117">
        <v>0</v>
      </c>
    </row>
    <row r="370" spans="1:53" s="211" customFormat="1" outlineLevel="1" x14ac:dyDescent="0.25">
      <c r="A370" s="211" t="s">
        <v>1136</v>
      </c>
      <c r="B370" s="212"/>
      <c r="C370" s="213" t="s">
        <v>1137</v>
      </c>
      <c r="D370" s="229"/>
      <c r="E370" s="229"/>
      <c r="F370" s="215">
        <v>0</v>
      </c>
      <c r="G370" s="215">
        <v>0</v>
      </c>
      <c r="H370" s="236">
        <f>+F370-G370</f>
        <v>0</v>
      </c>
      <c r="I370" s="237">
        <f>IF(G370&lt;0,IF(H370=0,0,IF(OR(G370=0,F370=0),"N.M.",IF(ABS(H370/G370)&gt;=10,"N.M.",H370/(-G370)))),IF(H370=0,0,IF(OR(G370=0,F370=0),"N.M.",IF(ABS(H370/G370)&gt;=10,"N.M.",H370/G370))))</f>
        <v>0</v>
      </c>
      <c r="J370" s="231"/>
      <c r="K370" s="215">
        <v>0</v>
      </c>
      <c r="L370" s="215">
        <v>0</v>
      </c>
      <c r="M370" s="236">
        <f>+K370-L370</f>
        <v>0</v>
      </c>
      <c r="N370" s="237">
        <f>IF(L370&lt;0,IF(M370=0,0,IF(OR(L370=0,K370=0),"N.M.",IF(ABS(M370/L370)&gt;=10,"N.M.",M370/(-L370)))),IF(M370=0,0,IF(OR(L370=0,K370=0),"N.M.",IF(ABS(M370/L370)&gt;=10,"N.M.",M370/L370))))</f>
        <v>0</v>
      </c>
      <c r="O370" s="247"/>
      <c r="P370" s="233"/>
      <c r="Q370" s="215">
        <v>0</v>
      </c>
      <c r="R370" s="215">
        <v>0</v>
      </c>
      <c r="S370" s="236">
        <f>+Q370-R370</f>
        <v>0</v>
      </c>
      <c r="T370" s="237">
        <f>IF(R370&lt;0,IF(S370=0,0,IF(OR(R370=0,Q370=0),"N.M.",IF(ABS(S370/R370)&gt;=10,"N.M.",S370/(-R370)))),IF(S370=0,0,IF(OR(R370=0,Q370=0),"N.M.",IF(ABS(S370/R370)&gt;=10,"N.M.",S370/R370))))</f>
        <v>0</v>
      </c>
      <c r="U370" s="233"/>
      <c r="V370" s="215">
        <v>0</v>
      </c>
      <c r="W370" s="215">
        <v>494.29</v>
      </c>
      <c r="X370" s="236">
        <f>+V370-W370</f>
        <v>-494.29</v>
      </c>
      <c r="Y370" s="232" t="str">
        <f>IF(W370&lt;0,IF(X370=0,0,IF(OR(W370=0,V370=0),"N.M.",IF(ABS(X370/W370)&gt;=10,"N.M.",X370/(-W370)))),IF(X370=0,0,IF(OR(W370=0,V370=0),"N.M.",IF(ABS(X370/W370)&gt;=10,"N.M.",X370/W370))))</f>
        <v>N.M.</v>
      </c>
      <c r="AA370" s="215">
        <v>0</v>
      </c>
      <c r="AB370" s="235"/>
      <c r="AC370" s="215">
        <v>0</v>
      </c>
      <c r="AD370" s="215">
        <v>0</v>
      </c>
      <c r="AE370" s="215">
        <v>0</v>
      </c>
      <c r="AF370" s="215">
        <v>0</v>
      </c>
      <c r="AG370" s="215">
        <v>0</v>
      </c>
      <c r="AH370" s="215">
        <v>0</v>
      </c>
      <c r="AI370" s="215">
        <v>0</v>
      </c>
      <c r="AJ370" s="215">
        <v>0</v>
      </c>
      <c r="AK370" s="215">
        <v>0</v>
      </c>
      <c r="AL370" s="215">
        <v>0</v>
      </c>
      <c r="AM370" s="215">
        <v>0</v>
      </c>
      <c r="AN370" s="215">
        <v>0</v>
      </c>
      <c r="AO370" s="235"/>
      <c r="AP370" s="215">
        <v>0</v>
      </c>
      <c r="AQ370" s="215">
        <v>0</v>
      </c>
      <c r="AR370" s="215">
        <v>0</v>
      </c>
      <c r="AS370" s="215">
        <v>0</v>
      </c>
      <c r="AT370" s="215">
        <v>0</v>
      </c>
      <c r="AU370" s="215">
        <v>0</v>
      </c>
      <c r="AV370" s="215">
        <v>0</v>
      </c>
      <c r="AW370" s="215">
        <v>0</v>
      </c>
      <c r="AX370" s="215">
        <v>0</v>
      </c>
      <c r="AY370" s="215">
        <v>0</v>
      </c>
      <c r="AZ370" s="215">
        <v>0</v>
      </c>
      <c r="BA370" s="215">
        <v>0</v>
      </c>
    </row>
    <row r="371" spans="1:53" s="211" customFormat="1" ht="0.75" customHeight="1" outlineLevel="2" x14ac:dyDescent="0.25">
      <c r="B371" s="212"/>
      <c r="C371" s="213"/>
      <c r="D371" s="229"/>
      <c r="E371" s="229"/>
      <c r="F371" s="215"/>
      <c r="G371" s="215"/>
      <c r="H371" s="215"/>
      <c r="I371" s="230"/>
      <c r="J371" s="231"/>
      <c r="K371" s="215"/>
      <c r="L371" s="215"/>
      <c r="M371" s="215"/>
      <c r="N371" s="237"/>
      <c r="O371" s="247"/>
      <c r="P371" s="233"/>
      <c r="Q371" s="215"/>
      <c r="R371" s="215"/>
      <c r="S371" s="215"/>
      <c r="T371" s="230"/>
      <c r="U371" s="233"/>
      <c r="V371" s="215"/>
      <c r="W371" s="215"/>
      <c r="X371" s="215"/>
      <c r="Y371" s="234"/>
      <c r="AA371" s="215"/>
      <c r="AB371" s="235"/>
      <c r="AC371" s="215"/>
      <c r="AD371" s="215"/>
      <c r="AE371" s="215"/>
      <c r="AF371" s="215"/>
      <c r="AG371" s="215"/>
      <c r="AH371" s="215"/>
      <c r="AI371" s="215"/>
      <c r="AJ371" s="215"/>
      <c r="AK371" s="215"/>
      <c r="AL371" s="215"/>
      <c r="AM371" s="215"/>
      <c r="AN371" s="215"/>
      <c r="AO371" s="235"/>
      <c r="AP371" s="215"/>
      <c r="AQ371" s="215"/>
      <c r="AR371" s="215"/>
      <c r="AS371" s="215"/>
      <c r="AT371" s="215"/>
      <c r="AU371" s="215"/>
      <c r="AV371" s="215"/>
      <c r="AW371" s="215"/>
      <c r="AX371" s="215"/>
      <c r="AY371" s="215"/>
      <c r="AZ371" s="215"/>
      <c r="BA371" s="215"/>
    </row>
    <row r="372" spans="1:53" s="211" customFormat="1" outlineLevel="1" x14ac:dyDescent="0.25">
      <c r="A372" s="211" t="s">
        <v>1138</v>
      </c>
      <c r="B372" s="212"/>
      <c r="C372" s="213" t="s">
        <v>1139</v>
      </c>
      <c r="D372" s="229"/>
      <c r="E372" s="229"/>
      <c r="F372" s="215">
        <v>0</v>
      </c>
      <c r="G372" s="215">
        <v>0</v>
      </c>
      <c r="H372" s="236">
        <f>+F372-G372</f>
        <v>0</v>
      </c>
      <c r="I372" s="237">
        <f>IF(G372&lt;0,IF(H372=0,0,IF(OR(G372=0,F372=0),"N.M.",IF(ABS(H372/G372)&gt;=10,"N.M.",H372/(-G372)))),IF(H372=0,0,IF(OR(G372=0,F372=0),"N.M.",IF(ABS(H372/G372)&gt;=10,"N.M.",H372/G372))))</f>
        <v>0</v>
      </c>
      <c r="J372" s="231"/>
      <c r="K372" s="215">
        <v>0</v>
      </c>
      <c r="L372" s="215">
        <v>0</v>
      </c>
      <c r="M372" s="236">
        <f>+K372-L372</f>
        <v>0</v>
      </c>
      <c r="N372" s="237">
        <f>IF(L372&lt;0,IF(M372=0,0,IF(OR(L372=0,K372=0),"N.M.",IF(ABS(M372/L372)&gt;=10,"N.M.",M372/(-L372)))),IF(M372=0,0,IF(OR(L372=0,K372=0),"N.M.",IF(ABS(M372/L372)&gt;=10,"N.M.",M372/L372))))</f>
        <v>0</v>
      </c>
      <c r="O372" s="247"/>
      <c r="P372" s="233"/>
      <c r="Q372" s="215">
        <v>0</v>
      </c>
      <c r="R372" s="215">
        <v>0</v>
      </c>
      <c r="S372" s="236">
        <f>+Q372-R372</f>
        <v>0</v>
      </c>
      <c r="T372" s="237">
        <f>IF(R372&lt;0,IF(S372=0,0,IF(OR(R372=0,Q372=0),"N.M.",IF(ABS(S372/R372)&gt;=10,"N.M.",S372/(-R372)))),IF(S372=0,0,IF(OR(R372=0,Q372=0),"N.M.",IF(ABS(S372/R372)&gt;=10,"N.M.",S372/R372))))</f>
        <v>0</v>
      </c>
      <c r="U372" s="233"/>
      <c r="V372" s="215">
        <v>0</v>
      </c>
      <c r="W372" s="215">
        <v>0</v>
      </c>
      <c r="X372" s="236">
        <f>+V372-W372</f>
        <v>0</v>
      </c>
      <c r="Y372" s="232">
        <f>IF(W372&lt;0,IF(X372=0,0,IF(OR(W372=0,V372=0),"N.M.",IF(ABS(X372/W372)&gt;=10,"N.M.",X372/(-W372)))),IF(X372=0,0,IF(OR(W372=0,V372=0),"N.M.",IF(ABS(X372/W372)&gt;=10,"N.M.",X372/W372))))</f>
        <v>0</v>
      </c>
      <c r="AA372" s="215">
        <v>0</v>
      </c>
      <c r="AB372" s="235"/>
      <c r="AC372" s="215">
        <v>0</v>
      </c>
      <c r="AD372" s="215">
        <v>0</v>
      </c>
      <c r="AE372" s="215">
        <v>0</v>
      </c>
      <c r="AF372" s="215">
        <v>0</v>
      </c>
      <c r="AG372" s="215">
        <v>0</v>
      </c>
      <c r="AH372" s="215">
        <v>0</v>
      </c>
      <c r="AI372" s="215">
        <v>0</v>
      </c>
      <c r="AJ372" s="215">
        <v>0</v>
      </c>
      <c r="AK372" s="215">
        <v>0</v>
      </c>
      <c r="AL372" s="215">
        <v>0</v>
      </c>
      <c r="AM372" s="215">
        <v>0</v>
      </c>
      <c r="AN372" s="215">
        <v>0</v>
      </c>
      <c r="AO372" s="235"/>
      <c r="AP372" s="215">
        <v>0</v>
      </c>
      <c r="AQ372" s="215">
        <v>0</v>
      </c>
      <c r="AR372" s="215">
        <v>0</v>
      </c>
      <c r="AS372" s="215">
        <v>0</v>
      </c>
      <c r="AT372" s="215">
        <v>0</v>
      </c>
      <c r="AU372" s="215">
        <v>0</v>
      </c>
      <c r="AV372" s="215">
        <v>0</v>
      </c>
      <c r="AW372" s="215">
        <v>0</v>
      </c>
      <c r="AX372" s="215">
        <v>0</v>
      </c>
      <c r="AY372" s="215">
        <v>0</v>
      </c>
      <c r="AZ372" s="215">
        <v>0</v>
      </c>
      <c r="BA372" s="215">
        <v>0</v>
      </c>
    </row>
    <row r="373" spans="1:53" s="211" customFormat="1" ht="0.75" customHeight="1" outlineLevel="2" x14ac:dyDescent="0.25">
      <c r="B373" s="212"/>
      <c r="C373" s="213"/>
      <c r="D373" s="229"/>
      <c r="E373" s="229"/>
      <c r="F373" s="215"/>
      <c r="G373" s="215"/>
      <c r="H373" s="215"/>
      <c r="I373" s="230"/>
      <c r="J373" s="231"/>
      <c r="K373" s="215"/>
      <c r="L373" s="215"/>
      <c r="M373" s="215"/>
      <c r="N373" s="237"/>
      <c r="O373" s="247"/>
      <c r="P373" s="233"/>
      <c r="Q373" s="215"/>
      <c r="R373" s="215"/>
      <c r="S373" s="215"/>
      <c r="T373" s="230"/>
      <c r="U373" s="233"/>
      <c r="V373" s="215"/>
      <c r="W373" s="215"/>
      <c r="X373" s="215"/>
      <c r="Y373" s="234"/>
      <c r="AA373" s="215"/>
      <c r="AB373" s="235"/>
      <c r="AC373" s="215"/>
      <c r="AD373" s="215"/>
      <c r="AE373" s="215"/>
      <c r="AF373" s="215"/>
      <c r="AG373" s="215"/>
      <c r="AH373" s="215"/>
      <c r="AI373" s="215"/>
      <c r="AJ373" s="215"/>
      <c r="AK373" s="215"/>
      <c r="AL373" s="215"/>
      <c r="AM373" s="215"/>
      <c r="AN373" s="215"/>
      <c r="AO373" s="235"/>
      <c r="AP373" s="215"/>
      <c r="AQ373" s="215"/>
      <c r="AR373" s="215"/>
      <c r="AS373" s="215"/>
      <c r="AT373" s="215"/>
      <c r="AU373" s="215"/>
      <c r="AV373" s="215"/>
      <c r="AW373" s="215"/>
      <c r="AX373" s="215"/>
      <c r="AY373" s="215"/>
      <c r="AZ373" s="215"/>
      <c r="BA373" s="215"/>
    </row>
    <row r="374" spans="1:53" s="138" customFormat="1" outlineLevel="2" x14ac:dyDescent="0.25">
      <c r="A374" s="138" t="s">
        <v>1140</v>
      </c>
      <c r="B374" s="139" t="s">
        <v>1141</v>
      </c>
      <c r="C374" s="140" t="s">
        <v>1101</v>
      </c>
      <c r="D374" s="141"/>
      <c r="E374" s="142"/>
      <c r="F374" s="143">
        <v>1255.31</v>
      </c>
      <c r="G374" s="143">
        <v>2773.87</v>
      </c>
      <c r="H374" s="144">
        <f t="shared" ref="H374:H384" si="94">+F374-G374</f>
        <v>-1518.56</v>
      </c>
      <c r="I374" s="145">
        <f t="shared" ref="I374:I384" si="95">IF(G374&lt;0,IF(H374=0,0,IF(OR(G374=0,F374=0),"N.M.",IF(ABS(H374/G374)&gt;=10,"N.M.",H374/(-G374)))),IF(H374=0,0,IF(OR(G374=0,F374=0),"N.M.",IF(ABS(H374/G374)&gt;=10,"N.M.",H374/G374))))</f>
        <v>-0.54745175512911559</v>
      </c>
      <c r="J374" s="146"/>
      <c r="K374" s="143">
        <v>2877.39</v>
      </c>
      <c r="L374" s="143">
        <v>5336.53</v>
      </c>
      <c r="M374" s="144">
        <f t="shared" ref="M374:M384" si="96">+K374-L374</f>
        <v>-2459.14</v>
      </c>
      <c r="N374" s="145">
        <f t="shared" ref="N374:N384" si="97">IF(L374&lt;0,IF(M374=0,0,IF(OR(L374=0,K374=0),"N.M.",IF(ABS(M374/L374)&gt;=10,"N.M.",M374/(-L374)))),IF(M374=0,0,IF(OR(L374=0,K374=0),"N.M.",IF(ABS(M374/L374)&gt;=10,"N.M.",M374/L374))))</f>
        <v>-0.46081255047755754</v>
      </c>
      <c r="O374" s="147"/>
      <c r="P374" s="146"/>
      <c r="Q374" s="143">
        <v>4879.04</v>
      </c>
      <c r="R374" s="143">
        <v>7685.67</v>
      </c>
      <c r="S374" s="144">
        <f t="shared" ref="S374:S384" si="98">+Q374-R374</f>
        <v>-2806.63</v>
      </c>
      <c r="T374" s="145">
        <f t="shared" ref="T374:T384" si="99">IF(R374&lt;0,IF(S374=0,0,IF(OR(R374=0,Q374=0),"N.M.",IF(ABS(S374/R374)&gt;=10,"N.M.",S374/(-R374)))),IF(S374=0,0,IF(OR(R374=0,Q374=0),"N.M.",IF(ABS(S374/R374)&gt;=10,"N.M.",S374/R374))))</f>
        <v>-0.36517701124300161</v>
      </c>
      <c r="U374" s="146"/>
      <c r="V374" s="143">
        <v>24937.3</v>
      </c>
      <c r="W374" s="143">
        <v>28850.87</v>
      </c>
      <c r="X374" s="144">
        <f t="shared" ref="X374:X384" si="100">+V374-W374</f>
        <v>-3913.5699999999997</v>
      </c>
      <c r="Y374" s="145">
        <f t="shared" ref="Y374:Y384" si="101">IF(W374&lt;0,IF(X374=0,0,IF(OR(W374=0,V374=0),"N.M.",IF(ABS(X374/W374)&gt;=10,"N.M.",X374/(-W374)))),IF(X374=0,0,IF(OR(W374=0,V374=0),"N.M.",IF(ABS(X374/W374)&gt;=10,"N.M.",X374/W374))))</f>
        <v>-0.13564824908226336</v>
      </c>
      <c r="Z374" s="148"/>
      <c r="AA374" s="149">
        <v>2349.14</v>
      </c>
      <c r="AB374" s="150"/>
      <c r="AC374" s="117">
        <v>2562.66</v>
      </c>
      <c r="AD374" s="117">
        <v>2773.87</v>
      </c>
      <c r="AE374" s="117">
        <v>2233.46</v>
      </c>
      <c r="AF374" s="117">
        <v>2193.4900000000002</v>
      </c>
      <c r="AG374" s="117">
        <v>2992.09</v>
      </c>
      <c r="AH374" s="117">
        <v>3420.25</v>
      </c>
      <c r="AI374" s="117">
        <v>1575.0900000000001</v>
      </c>
      <c r="AJ374" s="117">
        <v>2985.23</v>
      </c>
      <c r="AK374" s="117">
        <v>2246.2200000000003</v>
      </c>
      <c r="AL374" s="117">
        <v>1137.47</v>
      </c>
      <c r="AM374" s="117">
        <v>1274.96</v>
      </c>
      <c r="AN374" s="117">
        <v>2001.65</v>
      </c>
      <c r="AO374" s="150"/>
      <c r="AP374" s="117">
        <v>1622.08</v>
      </c>
      <c r="AQ374" s="117">
        <v>1255.31</v>
      </c>
      <c r="AR374" s="117">
        <v>0</v>
      </c>
      <c r="AS374" s="117">
        <v>0</v>
      </c>
      <c r="AT374" s="117">
        <v>0</v>
      </c>
      <c r="AU374" s="117">
        <v>0</v>
      </c>
      <c r="AV374" s="117">
        <v>0</v>
      </c>
      <c r="AW374" s="117">
        <v>0</v>
      </c>
      <c r="AX374" s="117">
        <v>0</v>
      </c>
      <c r="AY374" s="117">
        <v>0</v>
      </c>
      <c r="AZ374" s="117">
        <v>0</v>
      </c>
      <c r="BA374" s="117">
        <v>0</v>
      </c>
    </row>
    <row r="375" spans="1:53" s="138" customFormat="1" outlineLevel="2" x14ac:dyDescent="0.25">
      <c r="A375" s="138" t="s">
        <v>1142</v>
      </c>
      <c r="B375" s="139" t="s">
        <v>1143</v>
      </c>
      <c r="C375" s="140" t="s">
        <v>1104</v>
      </c>
      <c r="D375" s="141"/>
      <c r="E375" s="142"/>
      <c r="F375" s="143">
        <v>1222.49</v>
      </c>
      <c r="G375" s="143">
        <v>564.46</v>
      </c>
      <c r="H375" s="144">
        <f t="shared" si="94"/>
        <v>658.03</v>
      </c>
      <c r="I375" s="145">
        <f t="shared" si="95"/>
        <v>1.1657690536087586</v>
      </c>
      <c r="J375" s="146"/>
      <c r="K375" s="143">
        <v>2056.7400000000002</v>
      </c>
      <c r="L375" s="143">
        <v>1540.38</v>
      </c>
      <c r="M375" s="144">
        <f t="shared" si="96"/>
        <v>516.36000000000013</v>
      </c>
      <c r="N375" s="145">
        <f t="shared" si="97"/>
        <v>0.33521598566587474</v>
      </c>
      <c r="O375" s="147"/>
      <c r="P375" s="146"/>
      <c r="Q375" s="143">
        <v>2066.6800000000003</v>
      </c>
      <c r="R375" s="143">
        <v>1536.63</v>
      </c>
      <c r="S375" s="144">
        <f t="shared" si="98"/>
        <v>530.05000000000018</v>
      </c>
      <c r="T375" s="145">
        <f t="shared" si="99"/>
        <v>0.34494315482582022</v>
      </c>
      <c r="U375" s="146"/>
      <c r="V375" s="143">
        <v>22275.570000000003</v>
      </c>
      <c r="W375" s="143">
        <v>6090.91</v>
      </c>
      <c r="X375" s="144">
        <f t="shared" si="100"/>
        <v>16184.660000000003</v>
      </c>
      <c r="Y375" s="145">
        <f t="shared" si="101"/>
        <v>2.6571825884802114</v>
      </c>
      <c r="Z375" s="148"/>
      <c r="AA375" s="149">
        <v>-3.75</v>
      </c>
      <c r="AB375" s="150"/>
      <c r="AC375" s="117">
        <v>975.92000000000007</v>
      </c>
      <c r="AD375" s="117">
        <v>564.46</v>
      </c>
      <c r="AE375" s="117">
        <v>267.12</v>
      </c>
      <c r="AF375" s="117">
        <v>372.83</v>
      </c>
      <c r="AG375" s="117">
        <v>-0.56000000000000005</v>
      </c>
      <c r="AH375" s="117">
        <v>6587.45</v>
      </c>
      <c r="AI375" s="117">
        <v>48.160000000000004</v>
      </c>
      <c r="AJ375" s="117">
        <v>127.81</v>
      </c>
      <c r="AK375" s="117">
        <v>10342.73</v>
      </c>
      <c r="AL375" s="117">
        <v>2063.06</v>
      </c>
      <c r="AM375" s="117">
        <v>400.29</v>
      </c>
      <c r="AN375" s="117">
        <v>9.94</v>
      </c>
      <c r="AO375" s="150"/>
      <c r="AP375" s="117">
        <v>834.25</v>
      </c>
      <c r="AQ375" s="117">
        <v>1222.49</v>
      </c>
      <c r="AR375" s="117">
        <v>515</v>
      </c>
      <c r="AS375" s="117">
        <v>0</v>
      </c>
      <c r="AT375" s="117">
        <v>0</v>
      </c>
      <c r="AU375" s="117">
        <v>0</v>
      </c>
      <c r="AV375" s="117">
        <v>0</v>
      </c>
      <c r="AW375" s="117">
        <v>0</v>
      </c>
      <c r="AX375" s="117">
        <v>0</v>
      </c>
      <c r="AY375" s="117">
        <v>0</v>
      </c>
      <c r="AZ375" s="117">
        <v>0</v>
      </c>
      <c r="BA375" s="117">
        <v>0</v>
      </c>
    </row>
    <row r="376" spans="1:53" s="138" customFormat="1" outlineLevel="2" x14ac:dyDescent="0.25">
      <c r="A376" s="138" t="s">
        <v>1144</v>
      </c>
      <c r="B376" s="139" t="s">
        <v>1145</v>
      </c>
      <c r="C376" s="140" t="s">
        <v>1146</v>
      </c>
      <c r="D376" s="141"/>
      <c r="E376" s="142"/>
      <c r="F376" s="143">
        <v>362.43</v>
      </c>
      <c r="G376" s="143">
        <v>35.65</v>
      </c>
      <c r="H376" s="144">
        <f t="shared" si="94"/>
        <v>326.78000000000003</v>
      </c>
      <c r="I376" s="145">
        <f t="shared" si="95"/>
        <v>9.1663394109396918</v>
      </c>
      <c r="J376" s="146"/>
      <c r="K376" s="143">
        <v>786</v>
      </c>
      <c r="L376" s="143">
        <v>200.16</v>
      </c>
      <c r="M376" s="144">
        <f t="shared" si="96"/>
        <v>585.84</v>
      </c>
      <c r="N376" s="145">
        <f t="shared" si="97"/>
        <v>2.9268585131894485</v>
      </c>
      <c r="O376" s="147"/>
      <c r="P376" s="146"/>
      <c r="Q376" s="143">
        <v>1167.9000000000001</v>
      </c>
      <c r="R376" s="143">
        <v>288.15999999999997</v>
      </c>
      <c r="S376" s="144">
        <f t="shared" si="98"/>
        <v>879.74000000000012</v>
      </c>
      <c r="T376" s="145">
        <f t="shared" si="99"/>
        <v>3.0529566907273744</v>
      </c>
      <c r="U376" s="146"/>
      <c r="V376" s="143">
        <v>2236.2200000000003</v>
      </c>
      <c r="W376" s="143">
        <v>567.99</v>
      </c>
      <c r="X376" s="144">
        <f t="shared" si="100"/>
        <v>1668.2300000000002</v>
      </c>
      <c r="Y376" s="145">
        <f t="shared" si="101"/>
        <v>2.9370763569781162</v>
      </c>
      <c r="Z376" s="148"/>
      <c r="AA376" s="149">
        <v>88</v>
      </c>
      <c r="AB376" s="150"/>
      <c r="AC376" s="117">
        <v>164.51</v>
      </c>
      <c r="AD376" s="117">
        <v>35.65</v>
      </c>
      <c r="AE376" s="117">
        <v>128.99</v>
      </c>
      <c r="AF376" s="117">
        <v>-119.93</v>
      </c>
      <c r="AG376" s="117">
        <v>71.17</v>
      </c>
      <c r="AH376" s="117">
        <v>125.84</v>
      </c>
      <c r="AI376" s="117">
        <v>243.73000000000002</v>
      </c>
      <c r="AJ376" s="117">
        <v>351.03000000000003</v>
      </c>
      <c r="AK376" s="117">
        <v>-86.62</v>
      </c>
      <c r="AL376" s="117">
        <v>236.07</v>
      </c>
      <c r="AM376" s="117">
        <v>118.04</v>
      </c>
      <c r="AN376" s="117">
        <v>381.90000000000003</v>
      </c>
      <c r="AO376" s="150"/>
      <c r="AP376" s="117">
        <v>423.57</v>
      </c>
      <c r="AQ376" s="117">
        <v>362.43</v>
      </c>
      <c r="AR376" s="117">
        <v>0</v>
      </c>
      <c r="AS376" s="117">
        <v>0</v>
      </c>
      <c r="AT376" s="117">
        <v>0</v>
      </c>
      <c r="AU376" s="117">
        <v>0</v>
      </c>
      <c r="AV376" s="117">
        <v>0</v>
      </c>
      <c r="AW376" s="117">
        <v>0</v>
      </c>
      <c r="AX376" s="117">
        <v>0</v>
      </c>
      <c r="AY376" s="117">
        <v>0</v>
      </c>
      <c r="AZ376" s="117">
        <v>0</v>
      </c>
      <c r="BA376" s="117">
        <v>0</v>
      </c>
    </row>
    <row r="377" spans="1:53" s="138" customFormat="1" outlineLevel="2" x14ac:dyDescent="0.25">
      <c r="A377" s="138" t="s">
        <v>1147</v>
      </c>
      <c r="B377" s="139" t="s">
        <v>1148</v>
      </c>
      <c r="C377" s="140" t="s">
        <v>1149</v>
      </c>
      <c r="D377" s="141"/>
      <c r="E377" s="142"/>
      <c r="F377" s="143">
        <v>12853.36</v>
      </c>
      <c r="G377" s="143">
        <v>10772.19</v>
      </c>
      <c r="H377" s="144">
        <f t="shared" si="94"/>
        <v>2081.17</v>
      </c>
      <c r="I377" s="145">
        <f t="shared" si="95"/>
        <v>0.19319841183640465</v>
      </c>
      <c r="J377" s="146"/>
      <c r="K377" s="143">
        <v>36823.090000000004</v>
      </c>
      <c r="L377" s="143">
        <v>28597.52</v>
      </c>
      <c r="M377" s="144">
        <f t="shared" si="96"/>
        <v>8225.5700000000033</v>
      </c>
      <c r="N377" s="145">
        <f t="shared" si="97"/>
        <v>0.28763228419807041</v>
      </c>
      <c r="O377" s="147"/>
      <c r="P377" s="146"/>
      <c r="Q377" s="143">
        <v>43405.26</v>
      </c>
      <c r="R377" s="143">
        <v>37627.410000000003</v>
      </c>
      <c r="S377" s="144">
        <f t="shared" si="98"/>
        <v>5777.8499999999985</v>
      </c>
      <c r="T377" s="145">
        <f t="shared" si="99"/>
        <v>0.15355428396480114</v>
      </c>
      <c r="U377" s="146"/>
      <c r="V377" s="143">
        <v>115619.70999999999</v>
      </c>
      <c r="W377" s="143">
        <v>109031.09000000001</v>
      </c>
      <c r="X377" s="144">
        <f t="shared" si="100"/>
        <v>6588.6199999999808</v>
      </c>
      <c r="Y377" s="145">
        <f t="shared" si="101"/>
        <v>6.0428818972643308E-2</v>
      </c>
      <c r="Z377" s="148"/>
      <c r="AA377" s="149">
        <v>9029.89</v>
      </c>
      <c r="AB377" s="150"/>
      <c r="AC377" s="117">
        <v>17825.330000000002</v>
      </c>
      <c r="AD377" s="117">
        <v>10772.19</v>
      </c>
      <c r="AE377" s="117">
        <v>17310.400000000001</v>
      </c>
      <c r="AF377" s="117">
        <v>3585.65</v>
      </c>
      <c r="AG377" s="117">
        <v>8584.06</v>
      </c>
      <c r="AH377" s="117">
        <v>7822.43</v>
      </c>
      <c r="AI377" s="117">
        <v>8159.7300000000005</v>
      </c>
      <c r="AJ377" s="117">
        <v>4281.3599999999997</v>
      </c>
      <c r="AK377" s="117">
        <v>7105.62</v>
      </c>
      <c r="AL377" s="117">
        <v>8754.2800000000007</v>
      </c>
      <c r="AM377" s="117">
        <v>6610.92</v>
      </c>
      <c r="AN377" s="117">
        <v>6582.17</v>
      </c>
      <c r="AO377" s="150"/>
      <c r="AP377" s="117">
        <v>23969.73</v>
      </c>
      <c r="AQ377" s="117">
        <v>12853.36</v>
      </c>
      <c r="AR377" s="117">
        <v>0</v>
      </c>
      <c r="AS377" s="117">
        <v>0</v>
      </c>
      <c r="AT377" s="117">
        <v>0</v>
      </c>
      <c r="AU377" s="117">
        <v>0</v>
      </c>
      <c r="AV377" s="117">
        <v>0</v>
      </c>
      <c r="AW377" s="117">
        <v>0</v>
      </c>
      <c r="AX377" s="117">
        <v>0</v>
      </c>
      <c r="AY377" s="117">
        <v>0</v>
      </c>
      <c r="AZ377" s="117">
        <v>0</v>
      </c>
      <c r="BA377" s="117">
        <v>0</v>
      </c>
    </row>
    <row r="378" spans="1:53" s="138" customFormat="1" outlineLevel="2" x14ac:dyDescent="0.25">
      <c r="A378" s="138" t="s">
        <v>1150</v>
      </c>
      <c r="B378" s="139" t="s">
        <v>1151</v>
      </c>
      <c r="C378" s="140" t="s">
        <v>1152</v>
      </c>
      <c r="D378" s="141"/>
      <c r="E378" s="142"/>
      <c r="F378" s="143">
        <v>-2095.0100000000002</v>
      </c>
      <c r="G378" s="143">
        <v>576.84</v>
      </c>
      <c r="H378" s="144">
        <f t="shared" si="94"/>
        <v>-2671.8500000000004</v>
      </c>
      <c r="I378" s="145">
        <f t="shared" si="95"/>
        <v>-4.631873656473199</v>
      </c>
      <c r="J378" s="146"/>
      <c r="K378" s="143">
        <v>592.30000000000007</v>
      </c>
      <c r="L378" s="143">
        <v>2630.69</v>
      </c>
      <c r="M378" s="144">
        <f t="shared" si="96"/>
        <v>-2038.3899999999999</v>
      </c>
      <c r="N378" s="145">
        <f t="shared" si="97"/>
        <v>-0.77484994431118825</v>
      </c>
      <c r="O378" s="147"/>
      <c r="P378" s="146"/>
      <c r="Q378" s="143">
        <v>708.99</v>
      </c>
      <c r="R378" s="143">
        <v>2874.84</v>
      </c>
      <c r="S378" s="144">
        <f t="shared" si="98"/>
        <v>-2165.8500000000004</v>
      </c>
      <c r="T378" s="145">
        <f t="shared" si="99"/>
        <v>-0.75338105772843023</v>
      </c>
      <c r="U378" s="146"/>
      <c r="V378" s="143">
        <v>4308.1899999999996</v>
      </c>
      <c r="W378" s="143">
        <v>2800.67</v>
      </c>
      <c r="X378" s="144">
        <f t="shared" si="100"/>
        <v>1507.5199999999995</v>
      </c>
      <c r="Y378" s="145">
        <f t="shared" si="101"/>
        <v>0.53827119939157397</v>
      </c>
      <c r="Z378" s="148"/>
      <c r="AA378" s="149">
        <v>244.15</v>
      </c>
      <c r="AB378" s="150"/>
      <c r="AC378" s="117">
        <v>2053.85</v>
      </c>
      <c r="AD378" s="117">
        <v>576.84</v>
      </c>
      <c r="AE378" s="117">
        <v>129.74</v>
      </c>
      <c r="AF378" s="117">
        <v>-1918.3</v>
      </c>
      <c r="AG378" s="117">
        <v>485.8</v>
      </c>
      <c r="AH378" s="117">
        <v>1290.7</v>
      </c>
      <c r="AI378" s="117">
        <v>551.97</v>
      </c>
      <c r="AJ378" s="117">
        <v>1078.67</v>
      </c>
      <c r="AK378" s="117">
        <v>-2375.85</v>
      </c>
      <c r="AL378" s="117">
        <v>467.77</v>
      </c>
      <c r="AM378" s="117">
        <v>3888.7000000000003</v>
      </c>
      <c r="AN378" s="117">
        <v>116.69</v>
      </c>
      <c r="AO378" s="150"/>
      <c r="AP378" s="117">
        <v>2687.31</v>
      </c>
      <c r="AQ378" s="117">
        <v>-2095.0100000000002</v>
      </c>
      <c r="AR378" s="117">
        <v>0</v>
      </c>
      <c r="AS378" s="117">
        <v>0</v>
      </c>
      <c r="AT378" s="117">
        <v>0</v>
      </c>
      <c r="AU378" s="117">
        <v>0</v>
      </c>
      <c r="AV378" s="117">
        <v>0</v>
      </c>
      <c r="AW378" s="117">
        <v>0</v>
      </c>
      <c r="AX378" s="117">
        <v>0</v>
      </c>
      <c r="AY378" s="117">
        <v>0</v>
      </c>
      <c r="AZ378" s="117">
        <v>0</v>
      </c>
      <c r="BA378" s="117">
        <v>0</v>
      </c>
    </row>
    <row r="379" spans="1:53" s="138" customFormat="1" outlineLevel="2" x14ac:dyDescent="0.25">
      <c r="A379" s="138" t="s">
        <v>1153</v>
      </c>
      <c r="B379" s="139" t="s">
        <v>1154</v>
      </c>
      <c r="C379" s="140" t="s">
        <v>1155</v>
      </c>
      <c r="D379" s="141"/>
      <c r="E379" s="142"/>
      <c r="F379" s="143">
        <v>59230.880000000005</v>
      </c>
      <c r="G379" s="143">
        <v>52903.69</v>
      </c>
      <c r="H379" s="144">
        <f t="shared" si="94"/>
        <v>6327.1900000000023</v>
      </c>
      <c r="I379" s="145">
        <f t="shared" si="95"/>
        <v>0.1195982737688052</v>
      </c>
      <c r="J379" s="146"/>
      <c r="K379" s="143">
        <v>134690.25</v>
      </c>
      <c r="L379" s="143">
        <v>84443.46</v>
      </c>
      <c r="M379" s="144">
        <f t="shared" si="96"/>
        <v>50246.789999999994</v>
      </c>
      <c r="N379" s="145">
        <f t="shared" si="97"/>
        <v>0.59503471316784018</v>
      </c>
      <c r="O379" s="147"/>
      <c r="P379" s="146"/>
      <c r="Q379" s="143">
        <v>368742.28</v>
      </c>
      <c r="R379" s="143">
        <v>115393.53</v>
      </c>
      <c r="S379" s="144">
        <f t="shared" si="98"/>
        <v>253348.75000000003</v>
      </c>
      <c r="T379" s="145">
        <f t="shared" si="99"/>
        <v>2.1955195408269428</v>
      </c>
      <c r="U379" s="146"/>
      <c r="V379" s="143">
        <v>728635.14</v>
      </c>
      <c r="W379" s="143">
        <v>626216.15999999992</v>
      </c>
      <c r="X379" s="144">
        <f t="shared" si="100"/>
        <v>102418.9800000001</v>
      </c>
      <c r="Y379" s="145">
        <f t="shared" si="101"/>
        <v>0.16355211912768286</v>
      </c>
      <c r="Z379" s="148"/>
      <c r="AA379" s="149">
        <v>30950.07</v>
      </c>
      <c r="AB379" s="150"/>
      <c r="AC379" s="117">
        <v>31539.77</v>
      </c>
      <c r="AD379" s="117">
        <v>52903.69</v>
      </c>
      <c r="AE379" s="117">
        <v>-20550.900000000001</v>
      </c>
      <c r="AF379" s="117">
        <v>20658.52</v>
      </c>
      <c r="AG379" s="117">
        <v>67838.78</v>
      </c>
      <c r="AH379" s="117">
        <v>70315.64</v>
      </c>
      <c r="AI379" s="117">
        <v>49735.05</v>
      </c>
      <c r="AJ379" s="117">
        <v>66857.240000000005</v>
      </c>
      <c r="AK379" s="117">
        <v>39781.83</v>
      </c>
      <c r="AL379" s="117">
        <v>25654.15</v>
      </c>
      <c r="AM379" s="117">
        <v>39602.550000000003</v>
      </c>
      <c r="AN379" s="117">
        <v>234052.03</v>
      </c>
      <c r="AO379" s="150"/>
      <c r="AP379" s="117">
        <v>75459.37</v>
      </c>
      <c r="AQ379" s="117">
        <v>59230.880000000005</v>
      </c>
      <c r="AR379" s="117">
        <v>654.87</v>
      </c>
      <c r="AS379" s="117">
        <v>0</v>
      </c>
      <c r="AT379" s="117">
        <v>0</v>
      </c>
      <c r="AU379" s="117">
        <v>0</v>
      </c>
      <c r="AV379" s="117">
        <v>0</v>
      </c>
      <c r="AW379" s="117">
        <v>0</v>
      </c>
      <c r="AX379" s="117">
        <v>0</v>
      </c>
      <c r="AY379" s="117">
        <v>0</v>
      </c>
      <c r="AZ379" s="117">
        <v>0</v>
      </c>
      <c r="BA379" s="117">
        <v>0</v>
      </c>
    </row>
    <row r="380" spans="1:53" s="138" customFormat="1" outlineLevel="2" x14ac:dyDescent="0.25">
      <c r="A380" s="138" t="s">
        <v>1156</v>
      </c>
      <c r="B380" s="139" t="s">
        <v>1157</v>
      </c>
      <c r="C380" s="140" t="s">
        <v>1158</v>
      </c>
      <c r="D380" s="141"/>
      <c r="E380" s="142"/>
      <c r="F380" s="143">
        <v>71417.55</v>
      </c>
      <c r="G380" s="143">
        <v>101965.37</v>
      </c>
      <c r="H380" s="144">
        <f t="shared" si="94"/>
        <v>-30547.819999999992</v>
      </c>
      <c r="I380" s="145">
        <f t="shared" si="95"/>
        <v>-0.29959014516399041</v>
      </c>
      <c r="J380" s="146"/>
      <c r="K380" s="143">
        <v>227141.74</v>
      </c>
      <c r="L380" s="143">
        <v>195548.01</v>
      </c>
      <c r="M380" s="144">
        <f t="shared" si="96"/>
        <v>31593.729999999981</v>
      </c>
      <c r="N380" s="145">
        <f t="shared" si="97"/>
        <v>0.1615650806162639</v>
      </c>
      <c r="O380" s="147"/>
      <c r="P380" s="146"/>
      <c r="Q380" s="143">
        <v>431812.72</v>
      </c>
      <c r="R380" s="143">
        <v>354570.12</v>
      </c>
      <c r="S380" s="144">
        <f t="shared" si="98"/>
        <v>77242.599999999977</v>
      </c>
      <c r="T380" s="145">
        <f t="shared" si="99"/>
        <v>0.21784858803105003</v>
      </c>
      <c r="U380" s="146"/>
      <c r="V380" s="143">
        <v>1862825.98</v>
      </c>
      <c r="W380" s="143">
        <v>2319436.04</v>
      </c>
      <c r="X380" s="144">
        <f t="shared" si="100"/>
        <v>-456610.06000000006</v>
      </c>
      <c r="Y380" s="145">
        <f t="shared" si="101"/>
        <v>-0.19686253560154218</v>
      </c>
      <c r="Z380" s="148"/>
      <c r="AA380" s="149">
        <v>159022.11000000002</v>
      </c>
      <c r="AB380" s="150"/>
      <c r="AC380" s="117">
        <v>93582.64</v>
      </c>
      <c r="AD380" s="117">
        <v>101965.37</v>
      </c>
      <c r="AE380" s="117">
        <v>123450.55</v>
      </c>
      <c r="AF380" s="117">
        <v>91795.44</v>
      </c>
      <c r="AG380" s="117">
        <v>122040.04000000001</v>
      </c>
      <c r="AH380" s="117">
        <v>92640.900000000009</v>
      </c>
      <c r="AI380" s="117">
        <v>529556.07000000007</v>
      </c>
      <c r="AJ380" s="117">
        <v>210690.57</v>
      </c>
      <c r="AK380" s="117">
        <v>57005.17</v>
      </c>
      <c r="AL380" s="117">
        <v>132718.99</v>
      </c>
      <c r="AM380" s="117">
        <v>71115.53</v>
      </c>
      <c r="AN380" s="117">
        <v>204670.98</v>
      </c>
      <c r="AO380" s="150"/>
      <c r="AP380" s="117">
        <v>155724.19</v>
      </c>
      <c r="AQ380" s="117">
        <v>71417.55</v>
      </c>
      <c r="AR380" s="117">
        <v>-39548.129999999997</v>
      </c>
      <c r="AS380" s="117">
        <v>0</v>
      </c>
      <c r="AT380" s="117">
        <v>0</v>
      </c>
      <c r="AU380" s="117">
        <v>0</v>
      </c>
      <c r="AV380" s="117">
        <v>0</v>
      </c>
      <c r="AW380" s="117">
        <v>0</v>
      </c>
      <c r="AX380" s="117">
        <v>0</v>
      </c>
      <c r="AY380" s="117">
        <v>0</v>
      </c>
      <c r="AZ380" s="117">
        <v>0</v>
      </c>
      <c r="BA380" s="117">
        <v>0</v>
      </c>
    </row>
    <row r="381" spans="1:53" s="138" customFormat="1" outlineLevel="2" x14ac:dyDescent="0.25">
      <c r="A381" s="138" t="s">
        <v>1159</v>
      </c>
      <c r="B381" s="139" t="s">
        <v>1160</v>
      </c>
      <c r="C381" s="140" t="s">
        <v>1161</v>
      </c>
      <c r="D381" s="141"/>
      <c r="E381" s="142"/>
      <c r="F381" s="143">
        <v>64.320000000000007</v>
      </c>
      <c r="G381" s="143">
        <v>96.19</v>
      </c>
      <c r="H381" s="144">
        <f t="shared" si="94"/>
        <v>-31.86999999999999</v>
      </c>
      <c r="I381" s="145">
        <f t="shared" si="95"/>
        <v>-0.33132342239318008</v>
      </c>
      <c r="J381" s="146"/>
      <c r="K381" s="143">
        <v>274.67</v>
      </c>
      <c r="L381" s="143">
        <v>145.97</v>
      </c>
      <c r="M381" s="144">
        <f t="shared" si="96"/>
        <v>128.70000000000002</v>
      </c>
      <c r="N381" s="145">
        <f t="shared" si="97"/>
        <v>0.88168801808590813</v>
      </c>
      <c r="O381" s="147"/>
      <c r="P381" s="146"/>
      <c r="Q381" s="143">
        <v>292.75</v>
      </c>
      <c r="R381" s="143">
        <v>170.82</v>
      </c>
      <c r="S381" s="144">
        <f t="shared" si="98"/>
        <v>121.93</v>
      </c>
      <c r="T381" s="145">
        <f t="shared" si="99"/>
        <v>0.7137922959840769</v>
      </c>
      <c r="U381" s="146"/>
      <c r="V381" s="143">
        <v>170.62</v>
      </c>
      <c r="W381" s="143">
        <v>246.79000000000002</v>
      </c>
      <c r="X381" s="144">
        <f t="shared" si="100"/>
        <v>-76.170000000000016</v>
      </c>
      <c r="Y381" s="145">
        <f t="shared" si="101"/>
        <v>-0.30864297580939265</v>
      </c>
      <c r="Z381" s="148"/>
      <c r="AA381" s="149">
        <v>24.85</v>
      </c>
      <c r="AB381" s="150"/>
      <c r="AC381" s="117">
        <v>49.78</v>
      </c>
      <c r="AD381" s="117">
        <v>96.19</v>
      </c>
      <c r="AE381" s="117">
        <v>26.89</v>
      </c>
      <c r="AF381" s="117">
        <v>-135.58000000000001</v>
      </c>
      <c r="AG381" s="117">
        <v>37.53</v>
      </c>
      <c r="AH381" s="117">
        <v>102.18</v>
      </c>
      <c r="AI381" s="117">
        <v>12.780000000000001</v>
      </c>
      <c r="AJ381" s="117">
        <v>77.150000000000006</v>
      </c>
      <c r="AK381" s="117">
        <v>-252.81</v>
      </c>
      <c r="AL381" s="117">
        <v>40.92</v>
      </c>
      <c r="AM381" s="117">
        <v>-31.19</v>
      </c>
      <c r="AN381" s="117">
        <v>18.080000000000002</v>
      </c>
      <c r="AO381" s="150"/>
      <c r="AP381" s="117">
        <v>210.35</v>
      </c>
      <c r="AQ381" s="117">
        <v>64.320000000000007</v>
      </c>
      <c r="AR381" s="117">
        <v>0</v>
      </c>
      <c r="AS381" s="117">
        <v>0</v>
      </c>
      <c r="AT381" s="117">
        <v>0</v>
      </c>
      <c r="AU381" s="117">
        <v>0</v>
      </c>
      <c r="AV381" s="117">
        <v>0</v>
      </c>
      <c r="AW381" s="117">
        <v>0</v>
      </c>
      <c r="AX381" s="117">
        <v>0</v>
      </c>
      <c r="AY381" s="117">
        <v>0</v>
      </c>
      <c r="AZ381" s="117">
        <v>0</v>
      </c>
      <c r="BA381" s="117">
        <v>0</v>
      </c>
    </row>
    <row r="382" spans="1:53" s="138" customFormat="1" outlineLevel="2" x14ac:dyDescent="0.25">
      <c r="A382" s="138" t="s">
        <v>1162</v>
      </c>
      <c r="B382" s="139" t="s">
        <v>1163</v>
      </c>
      <c r="C382" s="140" t="s">
        <v>1164</v>
      </c>
      <c r="D382" s="141"/>
      <c r="E382" s="142"/>
      <c r="F382" s="143">
        <v>0</v>
      </c>
      <c r="G382" s="143">
        <v>0</v>
      </c>
      <c r="H382" s="144">
        <f t="shared" si="94"/>
        <v>0</v>
      </c>
      <c r="I382" s="145">
        <f t="shared" si="95"/>
        <v>0</v>
      </c>
      <c r="J382" s="146"/>
      <c r="K382" s="143">
        <v>0</v>
      </c>
      <c r="L382" s="143">
        <v>0</v>
      </c>
      <c r="M382" s="144">
        <f t="shared" si="96"/>
        <v>0</v>
      </c>
      <c r="N382" s="145">
        <f t="shared" si="97"/>
        <v>0</v>
      </c>
      <c r="O382" s="147"/>
      <c r="P382" s="146"/>
      <c r="Q382" s="143">
        <v>0</v>
      </c>
      <c r="R382" s="143">
        <v>-13.25</v>
      </c>
      <c r="S382" s="144">
        <f t="shared" si="98"/>
        <v>13.25</v>
      </c>
      <c r="T382" s="145" t="str">
        <f t="shared" si="99"/>
        <v>N.M.</v>
      </c>
      <c r="U382" s="146"/>
      <c r="V382" s="143">
        <v>0</v>
      </c>
      <c r="W382" s="143">
        <v>0</v>
      </c>
      <c r="X382" s="144">
        <f t="shared" si="100"/>
        <v>0</v>
      </c>
      <c r="Y382" s="145">
        <f t="shared" si="101"/>
        <v>0</v>
      </c>
      <c r="Z382" s="148"/>
      <c r="AA382" s="149">
        <v>-13.25</v>
      </c>
      <c r="AB382" s="150"/>
      <c r="AC382" s="117">
        <v>0</v>
      </c>
      <c r="AD382" s="117">
        <v>0</v>
      </c>
      <c r="AE382" s="117">
        <v>0</v>
      </c>
      <c r="AF382" s="117">
        <v>0</v>
      </c>
      <c r="AG382" s="117">
        <v>0</v>
      </c>
      <c r="AH382" s="117">
        <v>0</v>
      </c>
      <c r="AI382" s="117">
        <v>0</v>
      </c>
      <c r="AJ382" s="117">
        <v>0</v>
      </c>
      <c r="AK382" s="117">
        <v>0</v>
      </c>
      <c r="AL382" s="117">
        <v>0</v>
      </c>
      <c r="AM382" s="117">
        <v>0</v>
      </c>
      <c r="AN382" s="117">
        <v>0</v>
      </c>
      <c r="AO382" s="150"/>
      <c r="AP382" s="117">
        <v>0</v>
      </c>
      <c r="AQ382" s="117">
        <v>0</v>
      </c>
      <c r="AR382" s="117">
        <v>0</v>
      </c>
      <c r="AS382" s="117">
        <v>0</v>
      </c>
      <c r="AT382" s="117">
        <v>0</v>
      </c>
      <c r="AU382" s="117">
        <v>0</v>
      </c>
      <c r="AV382" s="117">
        <v>0</v>
      </c>
      <c r="AW382" s="117">
        <v>0</v>
      </c>
      <c r="AX382" s="117">
        <v>0</v>
      </c>
      <c r="AY382" s="117">
        <v>0</v>
      </c>
      <c r="AZ382" s="117">
        <v>0</v>
      </c>
      <c r="BA382" s="117">
        <v>0</v>
      </c>
    </row>
    <row r="383" spans="1:53" s="138" customFormat="1" outlineLevel="2" x14ac:dyDescent="0.25">
      <c r="A383" s="138" t="s">
        <v>1165</v>
      </c>
      <c r="B383" s="139" t="s">
        <v>1166</v>
      </c>
      <c r="C383" s="140" t="s">
        <v>1167</v>
      </c>
      <c r="D383" s="141"/>
      <c r="E383" s="142"/>
      <c r="F383" s="143">
        <v>52820.880000000005</v>
      </c>
      <c r="G383" s="143">
        <v>22473.119999999999</v>
      </c>
      <c r="H383" s="144">
        <f t="shared" si="94"/>
        <v>30347.760000000006</v>
      </c>
      <c r="I383" s="145">
        <f t="shared" si="95"/>
        <v>1.350402614323245</v>
      </c>
      <c r="J383" s="146"/>
      <c r="K383" s="143">
        <v>180722.56</v>
      </c>
      <c r="L383" s="143">
        <v>108946.90000000001</v>
      </c>
      <c r="M383" s="144">
        <f t="shared" si="96"/>
        <v>71775.659999999989</v>
      </c>
      <c r="N383" s="145">
        <f t="shared" si="97"/>
        <v>0.658813238375759</v>
      </c>
      <c r="O383" s="147"/>
      <c r="P383" s="146"/>
      <c r="Q383" s="143">
        <v>256113.83000000002</v>
      </c>
      <c r="R383" s="143">
        <v>124277.6</v>
      </c>
      <c r="S383" s="144">
        <f t="shared" si="98"/>
        <v>131836.23000000001</v>
      </c>
      <c r="T383" s="145">
        <f t="shared" si="99"/>
        <v>1.0608205340302677</v>
      </c>
      <c r="U383" s="146"/>
      <c r="V383" s="143">
        <v>456559.72000000003</v>
      </c>
      <c r="W383" s="143">
        <v>340027.97000000003</v>
      </c>
      <c r="X383" s="144">
        <f t="shared" si="100"/>
        <v>116531.75</v>
      </c>
      <c r="Y383" s="145">
        <f t="shared" si="101"/>
        <v>0.3427122480541821</v>
      </c>
      <c r="Z383" s="148"/>
      <c r="AA383" s="149">
        <v>15330.7</v>
      </c>
      <c r="AB383" s="150"/>
      <c r="AC383" s="117">
        <v>86473.78</v>
      </c>
      <c r="AD383" s="117">
        <v>22473.119999999999</v>
      </c>
      <c r="AE383" s="117">
        <v>21060.83</v>
      </c>
      <c r="AF383" s="117">
        <v>12148.32</v>
      </c>
      <c r="AG383" s="117">
        <v>9694.7800000000007</v>
      </c>
      <c r="AH383" s="117">
        <v>13261.24</v>
      </c>
      <c r="AI383" s="117">
        <v>35708.660000000003</v>
      </c>
      <c r="AJ383" s="117">
        <v>-2839.78</v>
      </c>
      <c r="AK383" s="117">
        <v>31402.560000000001</v>
      </c>
      <c r="AL383" s="117">
        <v>28595.25</v>
      </c>
      <c r="AM383" s="117">
        <v>51414.03</v>
      </c>
      <c r="AN383" s="117">
        <v>75391.27</v>
      </c>
      <c r="AO383" s="150"/>
      <c r="AP383" s="117">
        <v>127901.68000000001</v>
      </c>
      <c r="AQ383" s="117">
        <v>52820.880000000005</v>
      </c>
      <c r="AR383" s="117">
        <v>0</v>
      </c>
      <c r="AS383" s="117">
        <v>0</v>
      </c>
      <c r="AT383" s="117">
        <v>0</v>
      </c>
      <c r="AU383" s="117">
        <v>0</v>
      </c>
      <c r="AV383" s="117">
        <v>0</v>
      </c>
      <c r="AW383" s="117">
        <v>0</v>
      </c>
      <c r="AX383" s="117">
        <v>0</v>
      </c>
      <c r="AY383" s="117">
        <v>0</v>
      </c>
      <c r="AZ383" s="117">
        <v>0</v>
      </c>
      <c r="BA383" s="117">
        <v>0</v>
      </c>
    </row>
    <row r="384" spans="1:53" s="211" customFormat="1" outlineLevel="1" x14ac:dyDescent="0.25">
      <c r="A384" s="211" t="s">
        <v>1168</v>
      </c>
      <c r="B384" s="212"/>
      <c r="C384" s="213" t="s">
        <v>1169</v>
      </c>
      <c r="D384" s="229"/>
      <c r="E384" s="229"/>
      <c r="F384" s="215">
        <v>197132.21000000002</v>
      </c>
      <c r="G384" s="215">
        <v>192161.38</v>
      </c>
      <c r="H384" s="236">
        <f t="shared" si="94"/>
        <v>4970.8300000000163</v>
      </c>
      <c r="I384" s="237">
        <f t="shared" si="95"/>
        <v>2.5867996992944245E-2</v>
      </c>
      <c r="J384" s="231"/>
      <c r="K384" s="215">
        <v>585964.74</v>
      </c>
      <c r="L384" s="215">
        <v>427389.62</v>
      </c>
      <c r="M384" s="236">
        <f t="shared" si="96"/>
        <v>158575.12</v>
      </c>
      <c r="N384" s="237">
        <f t="shared" si="97"/>
        <v>0.37103175318109033</v>
      </c>
      <c r="O384" s="247"/>
      <c r="P384" s="233"/>
      <c r="Q384" s="215">
        <v>1109189.45</v>
      </c>
      <c r="R384" s="215">
        <v>644411.53</v>
      </c>
      <c r="S384" s="236">
        <f t="shared" si="98"/>
        <v>464777.91999999993</v>
      </c>
      <c r="T384" s="237">
        <f t="shared" si="99"/>
        <v>0.72124395415457554</v>
      </c>
      <c r="U384" s="233"/>
      <c r="V384" s="215">
        <v>3217568.4500000007</v>
      </c>
      <c r="W384" s="215">
        <v>3433268.4899999993</v>
      </c>
      <c r="X384" s="236">
        <f t="shared" si="100"/>
        <v>-215700.03999999864</v>
      </c>
      <c r="Y384" s="232">
        <f t="shared" si="101"/>
        <v>-6.2826440934713693E-2</v>
      </c>
      <c r="AA384" s="215">
        <v>217021.91000000003</v>
      </c>
      <c r="AB384" s="235"/>
      <c r="AC384" s="215">
        <v>235228.24</v>
      </c>
      <c r="AD384" s="215">
        <v>192161.38</v>
      </c>
      <c r="AE384" s="215">
        <v>144057.08000000002</v>
      </c>
      <c r="AF384" s="215">
        <v>128580.44</v>
      </c>
      <c r="AG384" s="215">
        <v>211743.69</v>
      </c>
      <c r="AH384" s="215">
        <v>195566.63</v>
      </c>
      <c r="AI384" s="215">
        <v>625591.24000000011</v>
      </c>
      <c r="AJ384" s="215">
        <v>283609.28000000003</v>
      </c>
      <c r="AK384" s="215">
        <v>145168.85</v>
      </c>
      <c r="AL384" s="215">
        <v>199667.96</v>
      </c>
      <c r="AM384" s="215">
        <v>174393.83000000002</v>
      </c>
      <c r="AN384" s="215">
        <v>523224.71</v>
      </c>
      <c r="AO384" s="235"/>
      <c r="AP384" s="215">
        <v>388832.53</v>
      </c>
      <c r="AQ384" s="215">
        <v>197132.21000000002</v>
      </c>
      <c r="AR384" s="215">
        <v>-38378.259999999995</v>
      </c>
      <c r="AS384" s="215">
        <v>0</v>
      </c>
      <c r="AT384" s="215">
        <v>0</v>
      </c>
      <c r="AU384" s="215">
        <v>0</v>
      </c>
      <c r="AV384" s="215">
        <v>0</v>
      </c>
      <c r="AW384" s="215">
        <v>0</v>
      </c>
      <c r="AX384" s="215">
        <v>0</v>
      </c>
      <c r="AY384" s="215">
        <v>0</v>
      </c>
      <c r="AZ384" s="215">
        <v>0</v>
      </c>
      <c r="BA384" s="215">
        <v>0</v>
      </c>
    </row>
    <row r="385" spans="1:53" s="211" customFormat="1" ht="0.75" customHeight="1" outlineLevel="2" x14ac:dyDescent="0.25">
      <c r="B385" s="212"/>
      <c r="C385" s="213"/>
      <c r="D385" s="229"/>
      <c r="E385" s="229"/>
      <c r="F385" s="215"/>
      <c r="G385" s="215"/>
      <c r="H385" s="215"/>
      <c r="I385" s="230"/>
      <c r="J385" s="231"/>
      <c r="K385" s="215"/>
      <c r="L385" s="215"/>
      <c r="M385" s="215"/>
      <c r="N385" s="237"/>
      <c r="O385" s="247"/>
      <c r="P385" s="233"/>
      <c r="Q385" s="215"/>
      <c r="R385" s="215"/>
      <c r="S385" s="215"/>
      <c r="T385" s="230"/>
      <c r="U385" s="233"/>
      <c r="V385" s="215"/>
      <c r="W385" s="215"/>
      <c r="X385" s="215"/>
      <c r="Y385" s="234"/>
      <c r="AA385" s="215"/>
      <c r="AB385" s="235"/>
      <c r="AC385" s="215"/>
      <c r="AD385" s="215"/>
      <c r="AE385" s="215"/>
      <c r="AF385" s="215"/>
      <c r="AG385" s="215"/>
      <c r="AH385" s="215"/>
      <c r="AI385" s="215"/>
      <c r="AJ385" s="215"/>
      <c r="AK385" s="215"/>
      <c r="AL385" s="215"/>
      <c r="AM385" s="215"/>
      <c r="AN385" s="215"/>
      <c r="AO385" s="235"/>
      <c r="AP385" s="215"/>
      <c r="AQ385" s="215"/>
      <c r="AR385" s="215"/>
      <c r="AS385" s="215"/>
      <c r="AT385" s="215"/>
      <c r="AU385" s="215"/>
      <c r="AV385" s="215"/>
      <c r="AW385" s="215"/>
      <c r="AX385" s="215"/>
      <c r="AY385" s="215"/>
      <c r="AZ385" s="215"/>
      <c r="BA385" s="215"/>
    </row>
    <row r="386" spans="1:53" s="138" customFormat="1" outlineLevel="2" x14ac:dyDescent="0.25">
      <c r="A386" s="138" t="s">
        <v>1170</v>
      </c>
      <c r="B386" s="139" t="s">
        <v>1171</v>
      </c>
      <c r="C386" s="140" t="s">
        <v>1101</v>
      </c>
      <c r="D386" s="141"/>
      <c r="E386" s="142"/>
      <c r="F386" s="143">
        <v>303.90000000000003</v>
      </c>
      <c r="G386" s="143">
        <v>151.25</v>
      </c>
      <c r="H386" s="144">
        <f t="shared" ref="H386:H398" si="102">+F386-G386</f>
        <v>152.65000000000003</v>
      </c>
      <c r="I386" s="145">
        <f t="shared" ref="I386:I398" si="103">IF(G386&lt;0,IF(H386=0,0,IF(OR(G386=0,F386=0),"N.M.",IF(ABS(H386/G386)&gt;=10,"N.M.",H386/(-G386)))),IF(H386=0,0,IF(OR(G386=0,F386=0),"N.M.",IF(ABS(H386/G386)&gt;=10,"N.M.",H386/G386))))</f>
        <v>1.0092561983471076</v>
      </c>
      <c r="J386" s="146"/>
      <c r="K386" s="143">
        <v>1897.23</v>
      </c>
      <c r="L386" s="143">
        <v>269.41000000000003</v>
      </c>
      <c r="M386" s="144">
        <f t="shared" ref="M386:M398" si="104">+K386-L386</f>
        <v>1627.82</v>
      </c>
      <c r="N386" s="145">
        <f t="shared" ref="N386:N398" si="105">IF(L386&lt;0,IF(M386=0,0,IF(OR(L386=0,K386=0),"N.M.",IF(ABS(M386/L386)&gt;=10,"N.M.",M386/(-L386)))),IF(M386=0,0,IF(OR(L386=0,K386=0),"N.M.",IF(ABS(M386/L386)&gt;=10,"N.M.",M386/L386))))</f>
        <v>6.0421662150625437</v>
      </c>
      <c r="O386" s="147"/>
      <c r="P386" s="146"/>
      <c r="Q386" s="143">
        <v>2327.0300000000002</v>
      </c>
      <c r="R386" s="143">
        <v>414.79</v>
      </c>
      <c r="S386" s="144">
        <f t="shared" ref="S386:S398" si="106">+Q386-R386</f>
        <v>1912.2400000000002</v>
      </c>
      <c r="T386" s="145">
        <f t="shared" ref="T386:T398" si="107">IF(R386&lt;0,IF(S386=0,0,IF(OR(R386=0,Q386=0),"N.M.",IF(ABS(S386/R386)&gt;=10,"N.M.",S386/(-R386)))),IF(S386=0,0,IF(OR(R386=0,Q386=0),"N.M.",IF(ABS(S386/R386)&gt;=10,"N.M.",S386/R386))))</f>
        <v>4.6101400708792406</v>
      </c>
      <c r="U386" s="146"/>
      <c r="V386" s="143">
        <v>4099.6399999999994</v>
      </c>
      <c r="W386" s="143">
        <v>914.5</v>
      </c>
      <c r="X386" s="144">
        <f t="shared" ref="X386:X398" si="108">+V386-W386</f>
        <v>3185.1399999999994</v>
      </c>
      <c r="Y386" s="145">
        <f t="shared" ref="Y386:Y398" si="109">IF(W386&lt;0,IF(X386=0,0,IF(OR(W386=0,V386=0),"N.M.",IF(ABS(X386/W386)&gt;=10,"N.M.",X386/(-W386)))),IF(X386=0,0,IF(OR(W386=0,V386=0),"N.M.",IF(ABS(X386/W386)&gt;=10,"N.M.",X386/W386))))</f>
        <v>3.4829305631492611</v>
      </c>
      <c r="Z386" s="148"/>
      <c r="AA386" s="149">
        <v>145.38</v>
      </c>
      <c r="AB386" s="150"/>
      <c r="AC386" s="117">
        <v>118.16</v>
      </c>
      <c r="AD386" s="117">
        <v>151.25</v>
      </c>
      <c r="AE386" s="117">
        <v>502.55</v>
      </c>
      <c r="AF386" s="117">
        <v>-6.6400000000000006</v>
      </c>
      <c r="AG386" s="117">
        <v>165.74</v>
      </c>
      <c r="AH386" s="117">
        <v>250.03</v>
      </c>
      <c r="AI386" s="117">
        <v>215.22</v>
      </c>
      <c r="AJ386" s="117">
        <v>156.16</v>
      </c>
      <c r="AK386" s="117">
        <v>161.72999999999999</v>
      </c>
      <c r="AL386" s="117">
        <v>130.81</v>
      </c>
      <c r="AM386" s="117">
        <v>197.01</v>
      </c>
      <c r="AN386" s="117">
        <v>429.8</v>
      </c>
      <c r="AO386" s="150"/>
      <c r="AP386" s="117">
        <v>1593.33</v>
      </c>
      <c r="AQ386" s="117">
        <v>303.90000000000003</v>
      </c>
      <c r="AR386" s="117">
        <v>-80.38</v>
      </c>
      <c r="AS386" s="117">
        <v>0</v>
      </c>
      <c r="AT386" s="117">
        <v>0</v>
      </c>
      <c r="AU386" s="117">
        <v>0</v>
      </c>
      <c r="AV386" s="117">
        <v>0</v>
      </c>
      <c r="AW386" s="117">
        <v>0</v>
      </c>
      <c r="AX386" s="117">
        <v>0</v>
      </c>
      <c r="AY386" s="117">
        <v>0</v>
      </c>
      <c r="AZ386" s="117">
        <v>0</v>
      </c>
      <c r="BA386" s="117">
        <v>0</v>
      </c>
    </row>
    <row r="387" spans="1:53" s="138" customFormat="1" outlineLevel="2" x14ac:dyDescent="0.25">
      <c r="A387" s="138" t="s">
        <v>1172</v>
      </c>
      <c r="B387" s="139" t="s">
        <v>1173</v>
      </c>
      <c r="C387" s="140" t="s">
        <v>1104</v>
      </c>
      <c r="D387" s="141"/>
      <c r="E387" s="142"/>
      <c r="F387" s="143">
        <v>-91.3</v>
      </c>
      <c r="G387" s="143">
        <v>4013.02</v>
      </c>
      <c r="H387" s="144">
        <f t="shared" si="102"/>
        <v>-4104.32</v>
      </c>
      <c r="I387" s="145">
        <f t="shared" si="103"/>
        <v>-1.022750945671838</v>
      </c>
      <c r="J387" s="146"/>
      <c r="K387" s="143">
        <v>2205.54</v>
      </c>
      <c r="L387" s="143">
        <v>4236.3</v>
      </c>
      <c r="M387" s="144">
        <f t="shared" si="104"/>
        <v>-2030.7600000000002</v>
      </c>
      <c r="N387" s="145">
        <f t="shared" si="105"/>
        <v>-0.4793711493520289</v>
      </c>
      <c r="O387" s="147"/>
      <c r="P387" s="146"/>
      <c r="Q387" s="143">
        <v>2553.62</v>
      </c>
      <c r="R387" s="143">
        <v>9465.86</v>
      </c>
      <c r="S387" s="144">
        <f t="shared" si="106"/>
        <v>-6912.2400000000007</v>
      </c>
      <c r="T387" s="145">
        <f t="shared" si="107"/>
        <v>-0.73022842087248285</v>
      </c>
      <c r="U387" s="146"/>
      <c r="V387" s="143">
        <v>27622.59</v>
      </c>
      <c r="W387" s="143">
        <v>13138.880000000001</v>
      </c>
      <c r="X387" s="144">
        <f t="shared" si="108"/>
        <v>14483.71</v>
      </c>
      <c r="Y387" s="145">
        <f t="shared" si="109"/>
        <v>1.1023549952507365</v>
      </c>
      <c r="Z387" s="148"/>
      <c r="AA387" s="149">
        <v>5229.5600000000004</v>
      </c>
      <c r="AB387" s="150"/>
      <c r="AC387" s="117">
        <v>223.28</v>
      </c>
      <c r="AD387" s="117">
        <v>4013.02</v>
      </c>
      <c r="AE387" s="117">
        <v>1298.8700000000001</v>
      </c>
      <c r="AF387" s="117">
        <v>680.08</v>
      </c>
      <c r="AG387" s="117">
        <v>1346.34</v>
      </c>
      <c r="AH387" s="117">
        <v>4385.1400000000003</v>
      </c>
      <c r="AI387" s="117">
        <v>3692.1800000000003</v>
      </c>
      <c r="AJ387" s="117">
        <v>2355.2000000000003</v>
      </c>
      <c r="AK387" s="117">
        <v>1123.3700000000001</v>
      </c>
      <c r="AL387" s="117">
        <v>9791.61</v>
      </c>
      <c r="AM387" s="117">
        <v>396.18</v>
      </c>
      <c r="AN387" s="117">
        <v>348.08</v>
      </c>
      <c r="AO387" s="150"/>
      <c r="AP387" s="117">
        <v>2296.84</v>
      </c>
      <c r="AQ387" s="117">
        <v>-91.3</v>
      </c>
      <c r="AR387" s="117">
        <v>0</v>
      </c>
      <c r="AS387" s="117">
        <v>0</v>
      </c>
      <c r="AT387" s="117">
        <v>0</v>
      </c>
      <c r="AU387" s="117">
        <v>0</v>
      </c>
      <c r="AV387" s="117">
        <v>0</v>
      </c>
      <c r="AW387" s="117">
        <v>0</v>
      </c>
      <c r="AX387" s="117">
        <v>0</v>
      </c>
      <c r="AY387" s="117">
        <v>0</v>
      </c>
      <c r="AZ387" s="117">
        <v>0</v>
      </c>
      <c r="BA387" s="117">
        <v>0</v>
      </c>
    </row>
    <row r="388" spans="1:53" s="138" customFormat="1" outlineLevel="2" x14ac:dyDescent="0.25">
      <c r="A388" s="138" t="s">
        <v>1174</v>
      </c>
      <c r="B388" s="139" t="s">
        <v>1175</v>
      </c>
      <c r="C388" s="140" t="s">
        <v>1155</v>
      </c>
      <c r="D388" s="141"/>
      <c r="E388" s="142"/>
      <c r="F388" s="143">
        <v>27338.03</v>
      </c>
      <c r="G388" s="143">
        <v>28371.79</v>
      </c>
      <c r="H388" s="144">
        <f t="shared" si="102"/>
        <v>-1033.760000000002</v>
      </c>
      <c r="I388" s="145">
        <f t="shared" si="103"/>
        <v>-3.6436192429170032E-2</v>
      </c>
      <c r="J388" s="146"/>
      <c r="K388" s="143">
        <v>50744.520000000004</v>
      </c>
      <c r="L388" s="143">
        <v>95496.34</v>
      </c>
      <c r="M388" s="144">
        <f t="shared" si="104"/>
        <v>-44751.819999999992</v>
      </c>
      <c r="N388" s="145">
        <f t="shared" si="105"/>
        <v>-0.46862340483415377</v>
      </c>
      <c r="O388" s="147"/>
      <c r="P388" s="146"/>
      <c r="Q388" s="143">
        <v>108936.87</v>
      </c>
      <c r="R388" s="143">
        <v>208869.46</v>
      </c>
      <c r="S388" s="144">
        <f t="shared" si="106"/>
        <v>-99932.59</v>
      </c>
      <c r="T388" s="145">
        <f t="shared" si="107"/>
        <v>-0.47844519730170221</v>
      </c>
      <c r="U388" s="146"/>
      <c r="V388" s="143">
        <v>430467.5</v>
      </c>
      <c r="W388" s="143">
        <v>572302.43000000005</v>
      </c>
      <c r="X388" s="144">
        <f t="shared" si="108"/>
        <v>-141834.93000000005</v>
      </c>
      <c r="Y388" s="145">
        <f t="shared" si="109"/>
        <v>-0.24783212959623471</v>
      </c>
      <c r="Z388" s="148"/>
      <c r="AA388" s="149">
        <v>113373.12</v>
      </c>
      <c r="AB388" s="150"/>
      <c r="AC388" s="117">
        <v>67124.55</v>
      </c>
      <c r="AD388" s="117">
        <v>28371.79</v>
      </c>
      <c r="AE388" s="117">
        <v>38241.86</v>
      </c>
      <c r="AF388" s="117">
        <v>36675.42</v>
      </c>
      <c r="AG388" s="117">
        <v>49491.22</v>
      </c>
      <c r="AH388" s="117">
        <v>21959.260000000002</v>
      </c>
      <c r="AI388" s="117">
        <v>45693.37</v>
      </c>
      <c r="AJ388" s="117">
        <v>39233.120000000003</v>
      </c>
      <c r="AK388" s="117">
        <v>25058.59</v>
      </c>
      <c r="AL388" s="117">
        <v>17556.420000000002</v>
      </c>
      <c r="AM388" s="117">
        <v>47621.37</v>
      </c>
      <c r="AN388" s="117">
        <v>58192.35</v>
      </c>
      <c r="AO388" s="150"/>
      <c r="AP388" s="117">
        <v>23406.49</v>
      </c>
      <c r="AQ388" s="117">
        <v>27338.03</v>
      </c>
      <c r="AR388" s="117">
        <v>4969.55</v>
      </c>
      <c r="AS388" s="117">
        <v>0</v>
      </c>
      <c r="AT388" s="117">
        <v>0</v>
      </c>
      <c r="AU388" s="117">
        <v>0</v>
      </c>
      <c r="AV388" s="117">
        <v>0</v>
      </c>
      <c r="AW388" s="117">
        <v>0</v>
      </c>
      <c r="AX388" s="117">
        <v>0</v>
      </c>
      <c r="AY388" s="117">
        <v>0</v>
      </c>
      <c r="AZ388" s="117">
        <v>0</v>
      </c>
      <c r="BA388" s="117">
        <v>0</v>
      </c>
    </row>
    <row r="389" spans="1:53" s="138" customFormat="1" outlineLevel="2" x14ac:dyDescent="0.25">
      <c r="A389" s="138" t="s">
        <v>1176</v>
      </c>
      <c r="B389" s="139" t="s">
        <v>1177</v>
      </c>
      <c r="C389" s="140" t="s">
        <v>1158</v>
      </c>
      <c r="D389" s="141"/>
      <c r="E389" s="142"/>
      <c r="F389" s="143">
        <v>2682784.79</v>
      </c>
      <c r="G389" s="143">
        <v>2342284.63</v>
      </c>
      <c r="H389" s="144">
        <f t="shared" si="102"/>
        <v>340500.16000000015</v>
      </c>
      <c r="I389" s="145">
        <f t="shared" si="103"/>
        <v>0.14537095775588987</v>
      </c>
      <c r="J389" s="146"/>
      <c r="K389" s="143">
        <v>5877560.3300000001</v>
      </c>
      <c r="L389" s="143">
        <v>5751382.8100000005</v>
      </c>
      <c r="M389" s="144">
        <f t="shared" si="104"/>
        <v>126177.51999999955</v>
      </c>
      <c r="N389" s="145">
        <f t="shared" si="105"/>
        <v>2.1938640526694406E-2</v>
      </c>
      <c r="O389" s="147"/>
      <c r="P389" s="146"/>
      <c r="Q389" s="143">
        <v>8498174.8100000005</v>
      </c>
      <c r="R389" s="143">
        <v>9420002.7699999996</v>
      </c>
      <c r="S389" s="144">
        <f t="shared" si="106"/>
        <v>-921827.95999999903</v>
      </c>
      <c r="T389" s="145">
        <f t="shared" si="107"/>
        <v>-9.7858565704009776E-2</v>
      </c>
      <c r="U389" s="146"/>
      <c r="V389" s="143">
        <v>36512511.976999998</v>
      </c>
      <c r="W389" s="143">
        <v>35362495.530000001</v>
      </c>
      <c r="X389" s="144">
        <f t="shared" si="108"/>
        <v>1150016.4469999969</v>
      </c>
      <c r="Y389" s="145">
        <f t="shared" si="109"/>
        <v>3.2520794411253384E-2</v>
      </c>
      <c r="Z389" s="148"/>
      <c r="AA389" s="149">
        <v>3668619.96</v>
      </c>
      <c r="AB389" s="150"/>
      <c r="AC389" s="117">
        <v>3409098.18</v>
      </c>
      <c r="AD389" s="117">
        <v>2342284.63</v>
      </c>
      <c r="AE389" s="117">
        <v>2444638.2400000002</v>
      </c>
      <c r="AF389" s="117">
        <v>3060637.73</v>
      </c>
      <c r="AG389" s="117">
        <v>2971051.3470000001</v>
      </c>
      <c r="AH389" s="117">
        <v>4336158.12</v>
      </c>
      <c r="AI389" s="117">
        <v>3797133.29</v>
      </c>
      <c r="AJ389" s="117">
        <v>2770560.23</v>
      </c>
      <c r="AK389" s="117">
        <v>3215683.05</v>
      </c>
      <c r="AL389" s="117">
        <v>3119856.44</v>
      </c>
      <c r="AM389" s="117">
        <v>2298618.7200000002</v>
      </c>
      <c r="AN389" s="117">
        <v>2620614.48</v>
      </c>
      <c r="AO389" s="150"/>
      <c r="AP389" s="117">
        <v>3194775.54</v>
      </c>
      <c r="AQ389" s="117">
        <v>2682784.79</v>
      </c>
      <c r="AR389" s="117">
        <v>-1455397.92</v>
      </c>
      <c r="AS389" s="117">
        <v>0</v>
      </c>
      <c r="AT389" s="117">
        <v>0</v>
      </c>
      <c r="AU389" s="117">
        <v>0</v>
      </c>
      <c r="AV389" s="117">
        <v>0</v>
      </c>
      <c r="AW389" s="117">
        <v>0</v>
      </c>
      <c r="AX389" s="117">
        <v>0</v>
      </c>
      <c r="AY389" s="117">
        <v>0</v>
      </c>
      <c r="AZ389" s="117">
        <v>0</v>
      </c>
      <c r="BA389" s="117">
        <v>0</v>
      </c>
    </row>
    <row r="390" spans="1:53" s="138" customFormat="1" outlineLevel="2" x14ac:dyDescent="0.25">
      <c r="A390" s="138" t="s">
        <v>1178</v>
      </c>
      <c r="B390" s="139" t="s">
        <v>1179</v>
      </c>
      <c r="C390" s="140" t="s">
        <v>1180</v>
      </c>
      <c r="D390" s="141"/>
      <c r="E390" s="142"/>
      <c r="F390" s="143">
        <v>60181.9</v>
      </c>
      <c r="G390" s="143">
        <v>39111.910000000003</v>
      </c>
      <c r="H390" s="144">
        <f t="shared" si="102"/>
        <v>21069.989999999998</v>
      </c>
      <c r="I390" s="145">
        <f t="shared" si="103"/>
        <v>0.53871033145658176</v>
      </c>
      <c r="J390" s="146"/>
      <c r="K390" s="143">
        <v>135779.32</v>
      </c>
      <c r="L390" s="143">
        <v>84144.59</v>
      </c>
      <c r="M390" s="144">
        <f t="shared" si="104"/>
        <v>51634.73000000001</v>
      </c>
      <c r="N390" s="145">
        <f t="shared" si="105"/>
        <v>0.61364289730332056</v>
      </c>
      <c r="O390" s="147"/>
      <c r="P390" s="146"/>
      <c r="Q390" s="143">
        <v>206242.45</v>
      </c>
      <c r="R390" s="143">
        <v>131304.72</v>
      </c>
      <c r="S390" s="144">
        <f t="shared" si="106"/>
        <v>74937.73000000001</v>
      </c>
      <c r="T390" s="145">
        <f t="shared" si="107"/>
        <v>0.5707161935991335</v>
      </c>
      <c r="U390" s="146"/>
      <c r="V390" s="143">
        <v>744215.32000000007</v>
      </c>
      <c r="W390" s="143">
        <v>465489.08999999997</v>
      </c>
      <c r="X390" s="144">
        <f t="shared" si="108"/>
        <v>278726.2300000001</v>
      </c>
      <c r="Y390" s="145">
        <f t="shared" si="109"/>
        <v>0.59878144512473996</v>
      </c>
      <c r="Z390" s="148"/>
      <c r="AA390" s="149">
        <v>47160.13</v>
      </c>
      <c r="AB390" s="150"/>
      <c r="AC390" s="117">
        <v>45032.68</v>
      </c>
      <c r="AD390" s="117">
        <v>39111.910000000003</v>
      </c>
      <c r="AE390" s="117">
        <v>70753.84</v>
      </c>
      <c r="AF390" s="117">
        <v>58484.03</v>
      </c>
      <c r="AG390" s="117">
        <v>50388.86</v>
      </c>
      <c r="AH390" s="117">
        <v>49384.090000000004</v>
      </c>
      <c r="AI390" s="117">
        <v>47183.99</v>
      </c>
      <c r="AJ390" s="117">
        <v>64162.080000000002</v>
      </c>
      <c r="AK390" s="117">
        <v>81038.45</v>
      </c>
      <c r="AL390" s="117">
        <v>74783.400000000009</v>
      </c>
      <c r="AM390" s="117">
        <v>41794.129999999997</v>
      </c>
      <c r="AN390" s="117">
        <v>70463.13</v>
      </c>
      <c r="AO390" s="150"/>
      <c r="AP390" s="117">
        <v>75597.42</v>
      </c>
      <c r="AQ390" s="117">
        <v>60181.9</v>
      </c>
      <c r="AR390" s="117">
        <v>-1235.24</v>
      </c>
      <c r="AS390" s="117">
        <v>0</v>
      </c>
      <c r="AT390" s="117">
        <v>0</v>
      </c>
      <c r="AU390" s="117">
        <v>0</v>
      </c>
      <c r="AV390" s="117">
        <v>0</v>
      </c>
      <c r="AW390" s="117">
        <v>0</v>
      </c>
      <c r="AX390" s="117">
        <v>0</v>
      </c>
      <c r="AY390" s="117">
        <v>0</v>
      </c>
      <c r="AZ390" s="117">
        <v>0</v>
      </c>
      <c r="BA390" s="117">
        <v>0</v>
      </c>
    </row>
    <row r="391" spans="1:53" s="138" customFormat="1" outlineLevel="2" x14ac:dyDescent="0.25">
      <c r="A391" s="138" t="s">
        <v>1181</v>
      </c>
      <c r="B391" s="139" t="s">
        <v>1182</v>
      </c>
      <c r="C391" s="140" t="s">
        <v>1183</v>
      </c>
      <c r="D391" s="141"/>
      <c r="E391" s="142"/>
      <c r="F391" s="143">
        <v>0</v>
      </c>
      <c r="G391" s="143">
        <v>0</v>
      </c>
      <c r="H391" s="144">
        <f t="shared" si="102"/>
        <v>0</v>
      </c>
      <c r="I391" s="145">
        <f t="shared" si="103"/>
        <v>0</v>
      </c>
      <c r="J391" s="146"/>
      <c r="K391" s="143">
        <v>0</v>
      </c>
      <c r="L391" s="143">
        <v>0</v>
      </c>
      <c r="M391" s="144">
        <f t="shared" si="104"/>
        <v>0</v>
      </c>
      <c r="N391" s="145">
        <f t="shared" si="105"/>
        <v>0</v>
      </c>
      <c r="O391" s="147"/>
      <c r="P391" s="146"/>
      <c r="Q391" s="143">
        <v>0</v>
      </c>
      <c r="R391" s="143">
        <v>319.81</v>
      </c>
      <c r="S391" s="144">
        <f t="shared" si="106"/>
        <v>-319.81</v>
      </c>
      <c r="T391" s="145" t="str">
        <f t="shared" si="107"/>
        <v>N.M.</v>
      </c>
      <c r="U391" s="146"/>
      <c r="V391" s="143">
        <v>0</v>
      </c>
      <c r="W391" s="143">
        <v>319.81</v>
      </c>
      <c r="X391" s="144">
        <f t="shared" si="108"/>
        <v>-319.81</v>
      </c>
      <c r="Y391" s="145" t="str">
        <f t="shared" si="109"/>
        <v>N.M.</v>
      </c>
      <c r="Z391" s="148"/>
      <c r="AA391" s="149">
        <v>319.81</v>
      </c>
      <c r="AB391" s="150"/>
      <c r="AC391" s="117">
        <v>0</v>
      </c>
      <c r="AD391" s="117">
        <v>0</v>
      </c>
      <c r="AE391" s="117">
        <v>0</v>
      </c>
      <c r="AF391" s="117">
        <v>0</v>
      </c>
      <c r="AG391" s="117">
        <v>0</v>
      </c>
      <c r="AH391" s="117">
        <v>0</v>
      </c>
      <c r="AI391" s="117">
        <v>0</v>
      </c>
      <c r="AJ391" s="117">
        <v>0</v>
      </c>
      <c r="AK391" s="117">
        <v>0</v>
      </c>
      <c r="AL391" s="117">
        <v>0</v>
      </c>
      <c r="AM391" s="117">
        <v>0</v>
      </c>
      <c r="AN391" s="117">
        <v>0</v>
      </c>
      <c r="AO391" s="150"/>
      <c r="AP391" s="117">
        <v>0</v>
      </c>
      <c r="AQ391" s="117">
        <v>0</v>
      </c>
      <c r="AR391" s="117">
        <v>0</v>
      </c>
      <c r="AS391" s="117">
        <v>0</v>
      </c>
      <c r="AT391" s="117">
        <v>0</v>
      </c>
      <c r="AU391" s="117">
        <v>0</v>
      </c>
      <c r="AV391" s="117">
        <v>0</v>
      </c>
      <c r="AW391" s="117">
        <v>0</v>
      </c>
      <c r="AX391" s="117">
        <v>0</v>
      </c>
      <c r="AY391" s="117">
        <v>0</v>
      </c>
      <c r="AZ391" s="117">
        <v>0</v>
      </c>
      <c r="BA391" s="117">
        <v>0</v>
      </c>
    </row>
    <row r="392" spans="1:53" s="138" customFormat="1" outlineLevel="2" x14ac:dyDescent="0.25">
      <c r="A392" s="138" t="s">
        <v>1184</v>
      </c>
      <c r="B392" s="139" t="s">
        <v>1185</v>
      </c>
      <c r="C392" s="140" t="s">
        <v>1186</v>
      </c>
      <c r="D392" s="141"/>
      <c r="E392" s="142"/>
      <c r="F392" s="143">
        <v>202433.33000000002</v>
      </c>
      <c r="G392" s="143">
        <v>202433.33000000002</v>
      </c>
      <c r="H392" s="144">
        <f t="shared" si="102"/>
        <v>0</v>
      </c>
      <c r="I392" s="145">
        <f t="shared" si="103"/>
        <v>0</v>
      </c>
      <c r="J392" s="146"/>
      <c r="K392" s="143">
        <v>404866.66000000003</v>
      </c>
      <c r="L392" s="143">
        <v>404866.66000000003</v>
      </c>
      <c r="M392" s="144">
        <f t="shared" si="104"/>
        <v>0</v>
      </c>
      <c r="N392" s="145">
        <f t="shared" si="105"/>
        <v>0</v>
      </c>
      <c r="O392" s="147"/>
      <c r="P392" s="146"/>
      <c r="Q392" s="143">
        <v>607299.99</v>
      </c>
      <c r="R392" s="143">
        <v>607299.99</v>
      </c>
      <c r="S392" s="144">
        <f t="shared" si="106"/>
        <v>0</v>
      </c>
      <c r="T392" s="145">
        <f t="shared" si="107"/>
        <v>0</v>
      </c>
      <c r="U392" s="146"/>
      <c r="V392" s="143">
        <v>2429199.96</v>
      </c>
      <c r="W392" s="143">
        <v>3185614.64</v>
      </c>
      <c r="X392" s="144">
        <f t="shared" si="108"/>
        <v>-756414.68000000017</v>
      </c>
      <c r="Y392" s="145">
        <f t="shared" si="109"/>
        <v>-0.23744701273723431</v>
      </c>
      <c r="Z392" s="148"/>
      <c r="AA392" s="149">
        <v>202433.33000000002</v>
      </c>
      <c r="AB392" s="150"/>
      <c r="AC392" s="117">
        <v>202433.33000000002</v>
      </c>
      <c r="AD392" s="117">
        <v>202433.33000000002</v>
      </c>
      <c r="AE392" s="117">
        <v>202433.33000000002</v>
      </c>
      <c r="AF392" s="117">
        <v>202433.33000000002</v>
      </c>
      <c r="AG392" s="117">
        <v>202433.33000000002</v>
      </c>
      <c r="AH392" s="117">
        <v>202433.33000000002</v>
      </c>
      <c r="AI392" s="117">
        <v>202433.33000000002</v>
      </c>
      <c r="AJ392" s="117">
        <v>202433.33000000002</v>
      </c>
      <c r="AK392" s="117">
        <v>202433.33000000002</v>
      </c>
      <c r="AL392" s="117">
        <v>202433.33000000002</v>
      </c>
      <c r="AM392" s="117">
        <v>202433.33000000002</v>
      </c>
      <c r="AN392" s="117">
        <v>202433.33000000002</v>
      </c>
      <c r="AO392" s="150"/>
      <c r="AP392" s="117">
        <v>202433.33000000002</v>
      </c>
      <c r="AQ392" s="117">
        <v>202433.33000000002</v>
      </c>
      <c r="AR392" s="117">
        <v>0</v>
      </c>
      <c r="AS392" s="117">
        <v>0</v>
      </c>
      <c r="AT392" s="117">
        <v>0</v>
      </c>
      <c r="AU392" s="117">
        <v>0</v>
      </c>
      <c r="AV392" s="117">
        <v>0</v>
      </c>
      <c r="AW392" s="117">
        <v>0</v>
      </c>
      <c r="AX392" s="117">
        <v>0</v>
      </c>
      <c r="AY392" s="117">
        <v>0</v>
      </c>
      <c r="AZ392" s="117">
        <v>0</v>
      </c>
      <c r="BA392" s="117">
        <v>0</v>
      </c>
    </row>
    <row r="393" spans="1:53" s="138" customFormat="1" outlineLevel="2" x14ac:dyDescent="0.25">
      <c r="A393" s="138" t="s">
        <v>1187</v>
      </c>
      <c r="B393" s="139" t="s">
        <v>1188</v>
      </c>
      <c r="C393" s="140" t="s">
        <v>1161</v>
      </c>
      <c r="D393" s="141"/>
      <c r="E393" s="142"/>
      <c r="F393" s="143">
        <v>3373.54</v>
      </c>
      <c r="G393" s="143">
        <v>15438.26</v>
      </c>
      <c r="H393" s="144">
        <f t="shared" si="102"/>
        <v>-12064.720000000001</v>
      </c>
      <c r="I393" s="145">
        <f t="shared" si="103"/>
        <v>-0.78148185093397837</v>
      </c>
      <c r="J393" s="146"/>
      <c r="K393" s="143">
        <v>14830.17</v>
      </c>
      <c r="L393" s="143">
        <v>23109.4</v>
      </c>
      <c r="M393" s="144">
        <f t="shared" si="104"/>
        <v>-8279.2300000000014</v>
      </c>
      <c r="N393" s="145">
        <f t="shared" si="105"/>
        <v>-0.35826243866132401</v>
      </c>
      <c r="O393" s="147"/>
      <c r="P393" s="146"/>
      <c r="Q393" s="143">
        <v>26595.16</v>
      </c>
      <c r="R393" s="143">
        <v>29794.81</v>
      </c>
      <c r="S393" s="144">
        <f t="shared" si="106"/>
        <v>-3199.6500000000015</v>
      </c>
      <c r="T393" s="145">
        <f t="shared" si="107"/>
        <v>-0.10738950844123528</v>
      </c>
      <c r="U393" s="146"/>
      <c r="V393" s="143">
        <v>86225.83</v>
      </c>
      <c r="W393" s="143">
        <v>130513.92000000001</v>
      </c>
      <c r="X393" s="144">
        <f t="shared" si="108"/>
        <v>-44288.090000000011</v>
      </c>
      <c r="Y393" s="145">
        <f t="shared" si="109"/>
        <v>-0.33933614130967799</v>
      </c>
      <c r="Z393" s="148"/>
      <c r="AA393" s="149">
        <v>6685.41</v>
      </c>
      <c r="AB393" s="150"/>
      <c r="AC393" s="117">
        <v>7671.14</v>
      </c>
      <c r="AD393" s="117">
        <v>15438.26</v>
      </c>
      <c r="AE393" s="117">
        <v>8925.0400000000009</v>
      </c>
      <c r="AF393" s="117">
        <v>-3880.78</v>
      </c>
      <c r="AG393" s="117">
        <v>1789.22</v>
      </c>
      <c r="AH393" s="117">
        <v>10155.64</v>
      </c>
      <c r="AI393" s="117">
        <v>6708.83</v>
      </c>
      <c r="AJ393" s="117">
        <v>16810.84</v>
      </c>
      <c r="AK393" s="117">
        <v>10979.56</v>
      </c>
      <c r="AL393" s="117">
        <v>10360.41</v>
      </c>
      <c r="AM393" s="117">
        <v>-2218.09</v>
      </c>
      <c r="AN393" s="117">
        <v>11764.99</v>
      </c>
      <c r="AO393" s="150"/>
      <c r="AP393" s="117">
        <v>11456.630000000001</v>
      </c>
      <c r="AQ393" s="117">
        <v>3373.54</v>
      </c>
      <c r="AR393" s="117">
        <v>1395.68</v>
      </c>
      <c r="AS393" s="117">
        <v>0</v>
      </c>
      <c r="AT393" s="117">
        <v>0</v>
      </c>
      <c r="AU393" s="117">
        <v>0</v>
      </c>
      <c r="AV393" s="117">
        <v>0</v>
      </c>
      <c r="AW393" s="117">
        <v>0</v>
      </c>
      <c r="AX393" s="117">
        <v>0</v>
      </c>
      <c r="AY393" s="117">
        <v>0</v>
      </c>
      <c r="AZ393" s="117">
        <v>0</v>
      </c>
      <c r="BA393" s="117">
        <v>0</v>
      </c>
    </row>
    <row r="394" spans="1:53" s="138" customFormat="1" outlineLevel="2" x14ac:dyDescent="0.25">
      <c r="A394" s="138" t="s">
        <v>1189</v>
      </c>
      <c r="B394" s="139" t="s">
        <v>1190</v>
      </c>
      <c r="C394" s="140" t="s">
        <v>1191</v>
      </c>
      <c r="D394" s="141"/>
      <c r="E394" s="142"/>
      <c r="F394" s="143">
        <v>3008.66</v>
      </c>
      <c r="G394" s="143">
        <v>2129.42</v>
      </c>
      <c r="H394" s="144">
        <f t="shared" si="102"/>
        <v>879.23999999999978</v>
      </c>
      <c r="I394" s="145">
        <f t="shared" si="103"/>
        <v>0.41290116557560264</v>
      </c>
      <c r="J394" s="146"/>
      <c r="K394" s="143">
        <v>8396.35</v>
      </c>
      <c r="L394" s="143">
        <v>6057.13</v>
      </c>
      <c r="M394" s="144">
        <f t="shared" si="104"/>
        <v>2339.2200000000003</v>
      </c>
      <c r="N394" s="145">
        <f t="shared" si="105"/>
        <v>0.38619280088094532</v>
      </c>
      <c r="O394" s="147"/>
      <c r="P394" s="146"/>
      <c r="Q394" s="143">
        <v>15389.59</v>
      </c>
      <c r="R394" s="143">
        <v>9039.44</v>
      </c>
      <c r="S394" s="144">
        <f t="shared" si="106"/>
        <v>6350.15</v>
      </c>
      <c r="T394" s="145">
        <f t="shared" si="107"/>
        <v>0.70249373855017561</v>
      </c>
      <c r="U394" s="146"/>
      <c r="V394" s="143">
        <v>52737.89</v>
      </c>
      <c r="W394" s="143">
        <v>70956.25</v>
      </c>
      <c r="X394" s="144">
        <f t="shared" si="108"/>
        <v>-18218.36</v>
      </c>
      <c r="Y394" s="145">
        <f t="shared" si="109"/>
        <v>-0.25675483132211752</v>
      </c>
      <c r="Z394" s="148"/>
      <c r="AA394" s="149">
        <v>2982.31</v>
      </c>
      <c r="AB394" s="150"/>
      <c r="AC394" s="117">
        <v>3927.71</v>
      </c>
      <c r="AD394" s="117">
        <v>2129.42</v>
      </c>
      <c r="AE394" s="117">
        <v>4768.8500000000004</v>
      </c>
      <c r="AF394" s="117">
        <v>4564.33</v>
      </c>
      <c r="AG394" s="117">
        <v>322.69</v>
      </c>
      <c r="AH394" s="117">
        <v>3505.81</v>
      </c>
      <c r="AI394" s="117">
        <v>4981.13</v>
      </c>
      <c r="AJ394" s="117">
        <v>5616.78</v>
      </c>
      <c r="AK394" s="117">
        <v>4875.8100000000004</v>
      </c>
      <c r="AL394" s="117">
        <v>4792.6000000000004</v>
      </c>
      <c r="AM394" s="117">
        <v>3920.3</v>
      </c>
      <c r="AN394" s="117">
        <v>6993.24</v>
      </c>
      <c r="AO394" s="150"/>
      <c r="AP394" s="117">
        <v>5387.6900000000005</v>
      </c>
      <c r="AQ394" s="117">
        <v>3008.66</v>
      </c>
      <c r="AR394" s="117">
        <v>-1038.1200000000001</v>
      </c>
      <c r="AS394" s="117">
        <v>0</v>
      </c>
      <c r="AT394" s="117">
        <v>0</v>
      </c>
      <c r="AU394" s="117">
        <v>0</v>
      </c>
      <c r="AV394" s="117">
        <v>0</v>
      </c>
      <c r="AW394" s="117">
        <v>0</v>
      </c>
      <c r="AX394" s="117">
        <v>0</v>
      </c>
      <c r="AY394" s="117">
        <v>0</v>
      </c>
      <c r="AZ394" s="117">
        <v>0</v>
      </c>
      <c r="BA394" s="117">
        <v>0</v>
      </c>
    </row>
    <row r="395" spans="1:53" s="138" customFormat="1" outlineLevel="2" x14ac:dyDescent="0.25">
      <c r="A395" s="138" t="s">
        <v>1192</v>
      </c>
      <c r="B395" s="139" t="s">
        <v>1193</v>
      </c>
      <c r="C395" s="140" t="s">
        <v>1194</v>
      </c>
      <c r="D395" s="141"/>
      <c r="E395" s="142"/>
      <c r="F395" s="143">
        <v>1861.69</v>
      </c>
      <c r="G395" s="143">
        <v>5142.33</v>
      </c>
      <c r="H395" s="144">
        <f t="shared" si="102"/>
        <v>-3280.64</v>
      </c>
      <c r="I395" s="145">
        <f t="shared" si="103"/>
        <v>-0.63796761390264722</v>
      </c>
      <c r="J395" s="146"/>
      <c r="K395" s="143">
        <v>1950.8</v>
      </c>
      <c r="L395" s="143">
        <v>17855.45</v>
      </c>
      <c r="M395" s="144">
        <f t="shared" si="104"/>
        <v>-15904.650000000001</v>
      </c>
      <c r="N395" s="145">
        <f t="shared" si="105"/>
        <v>-0.89074484261107956</v>
      </c>
      <c r="O395" s="147"/>
      <c r="P395" s="146"/>
      <c r="Q395" s="143">
        <v>4254.07</v>
      </c>
      <c r="R395" s="143">
        <v>25278.77</v>
      </c>
      <c r="S395" s="144">
        <f t="shared" si="106"/>
        <v>-21024.7</v>
      </c>
      <c r="T395" s="145">
        <f t="shared" si="107"/>
        <v>-0.83171372657767761</v>
      </c>
      <c r="U395" s="146"/>
      <c r="V395" s="143">
        <v>25239.02</v>
      </c>
      <c r="W395" s="143">
        <v>66050.89</v>
      </c>
      <c r="X395" s="144">
        <f t="shared" si="108"/>
        <v>-40811.869999999995</v>
      </c>
      <c r="Y395" s="145">
        <f t="shared" si="109"/>
        <v>-0.61788523969926823</v>
      </c>
      <c r="Z395" s="148"/>
      <c r="AA395" s="149">
        <v>7423.32</v>
      </c>
      <c r="AB395" s="150"/>
      <c r="AC395" s="117">
        <v>12713.12</v>
      </c>
      <c r="AD395" s="117">
        <v>5142.33</v>
      </c>
      <c r="AE395" s="117">
        <v>3557.2000000000003</v>
      </c>
      <c r="AF395" s="117">
        <v>2190.7000000000003</v>
      </c>
      <c r="AG395" s="117">
        <v>2169.4499999999998</v>
      </c>
      <c r="AH395" s="117">
        <v>2509.5</v>
      </c>
      <c r="AI395" s="117">
        <v>696.82</v>
      </c>
      <c r="AJ395" s="117">
        <v>3381.9900000000002</v>
      </c>
      <c r="AK395" s="117">
        <v>2764.54</v>
      </c>
      <c r="AL395" s="117">
        <v>2380.5300000000002</v>
      </c>
      <c r="AM395" s="117">
        <v>1334.22</v>
      </c>
      <c r="AN395" s="117">
        <v>2303.27</v>
      </c>
      <c r="AO395" s="150"/>
      <c r="AP395" s="117">
        <v>89.11</v>
      </c>
      <c r="AQ395" s="117">
        <v>1861.69</v>
      </c>
      <c r="AR395" s="117">
        <v>-443.89</v>
      </c>
      <c r="AS395" s="117">
        <v>0</v>
      </c>
      <c r="AT395" s="117">
        <v>0</v>
      </c>
      <c r="AU395" s="117">
        <v>0</v>
      </c>
      <c r="AV395" s="117">
        <v>0</v>
      </c>
      <c r="AW395" s="117">
        <v>0</v>
      </c>
      <c r="AX395" s="117">
        <v>0</v>
      </c>
      <c r="AY395" s="117">
        <v>0</v>
      </c>
      <c r="AZ395" s="117">
        <v>0</v>
      </c>
      <c r="BA395" s="117">
        <v>0</v>
      </c>
    </row>
    <row r="396" spans="1:53" s="138" customFormat="1" outlineLevel="2" x14ac:dyDescent="0.25">
      <c r="A396" s="138" t="s">
        <v>1195</v>
      </c>
      <c r="B396" s="139" t="s">
        <v>1196</v>
      </c>
      <c r="C396" s="140" t="s">
        <v>1197</v>
      </c>
      <c r="D396" s="141"/>
      <c r="E396" s="142"/>
      <c r="F396" s="143">
        <v>7069.54</v>
      </c>
      <c r="G396" s="143">
        <v>7641.2300000000005</v>
      </c>
      <c r="H396" s="144">
        <f t="shared" si="102"/>
        <v>-571.69000000000051</v>
      </c>
      <c r="I396" s="145">
        <f t="shared" si="103"/>
        <v>-7.4816488968399125E-2</v>
      </c>
      <c r="J396" s="146"/>
      <c r="K396" s="143">
        <v>12863.67</v>
      </c>
      <c r="L396" s="143">
        <v>13617.33</v>
      </c>
      <c r="M396" s="144">
        <f t="shared" si="104"/>
        <v>-753.65999999999985</v>
      </c>
      <c r="N396" s="145">
        <f t="shared" si="105"/>
        <v>-5.5345651460308287E-2</v>
      </c>
      <c r="O396" s="147"/>
      <c r="P396" s="146"/>
      <c r="Q396" s="143">
        <v>28454.07</v>
      </c>
      <c r="R396" s="143">
        <v>17956.599999999999</v>
      </c>
      <c r="S396" s="144">
        <f t="shared" si="106"/>
        <v>10497.470000000001</v>
      </c>
      <c r="T396" s="145">
        <f t="shared" si="107"/>
        <v>0.58460231892451808</v>
      </c>
      <c r="U396" s="146"/>
      <c r="V396" s="143">
        <v>77730.83</v>
      </c>
      <c r="W396" s="143">
        <v>113197.90000000001</v>
      </c>
      <c r="X396" s="144">
        <f t="shared" si="108"/>
        <v>-35467.070000000007</v>
      </c>
      <c r="Y396" s="145">
        <f t="shared" si="109"/>
        <v>-0.31331915168037572</v>
      </c>
      <c r="Z396" s="148"/>
      <c r="AA396" s="149">
        <v>4339.2700000000004</v>
      </c>
      <c r="AB396" s="150"/>
      <c r="AC396" s="117">
        <v>5976.1</v>
      </c>
      <c r="AD396" s="117">
        <v>7641.2300000000005</v>
      </c>
      <c r="AE396" s="117">
        <v>6450.74</v>
      </c>
      <c r="AF396" s="117">
        <v>6613.17</v>
      </c>
      <c r="AG396" s="117">
        <v>6289.92</v>
      </c>
      <c r="AH396" s="117">
        <v>6196.1</v>
      </c>
      <c r="AI396" s="117">
        <v>5231.75</v>
      </c>
      <c r="AJ396" s="117">
        <v>5642.11</v>
      </c>
      <c r="AK396" s="117">
        <v>5083.87</v>
      </c>
      <c r="AL396" s="117">
        <v>2812.39</v>
      </c>
      <c r="AM396" s="117">
        <v>4956.71</v>
      </c>
      <c r="AN396" s="117">
        <v>15590.4</v>
      </c>
      <c r="AO396" s="150"/>
      <c r="AP396" s="117">
        <v>5794.13</v>
      </c>
      <c r="AQ396" s="117">
        <v>7069.54</v>
      </c>
      <c r="AR396" s="117">
        <v>-1097.48</v>
      </c>
      <c r="AS396" s="117">
        <v>0</v>
      </c>
      <c r="AT396" s="117">
        <v>0</v>
      </c>
      <c r="AU396" s="117">
        <v>0</v>
      </c>
      <c r="AV396" s="117">
        <v>0</v>
      </c>
      <c r="AW396" s="117">
        <v>0</v>
      </c>
      <c r="AX396" s="117">
        <v>0</v>
      </c>
      <c r="AY396" s="117">
        <v>0</v>
      </c>
      <c r="AZ396" s="117">
        <v>0</v>
      </c>
      <c r="BA396" s="117">
        <v>0</v>
      </c>
    </row>
    <row r="397" spans="1:53" s="138" customFormat="1" outlineLevel="2" x14ac:dyDescent="0.25">
      <c r="A397" s="138" t="s">
        <v>1198</v>
      </c>
      <c r="B397" s="139" t="s">
        <v>1199</v>
      </c>
      <c r="C397" s="140" t="s">
        <v>1200</v>
      </c>
      <c r="D397" s="141"/>
      <c r="E397" s="142"/>
      <c r="F397" s="143">
        <v>3780.75</v>
      </c>
      <c r="G397" s="143">
        <v>8812.27</v>
      </c>
      <c r="H397" s="144">
        <f t="shared" si="102"/>
        <v>-5031.5200000000004</v>
      </c>
      <c r="I397" s="145">
        <f t="shared" si="103"/>
        <v>-0.57096752596096123</v>
      </c>
      <c r="J397" s="146"/>
      <c r="K397" s="143">
        <v>12707.49</v>
      </c>
      <c r="L397" s="143">
        <v>12409.74</v>
      </c>
      <c r="M397" s="144">
        <f t="shared" si="104"/>
        <v>297.75</v>
      </c>
      <c r="N397" s="145">
        <f t="shared" si="105"/>
        <v>2.3993250462942817E-2</v>
      </c>
      <c r="O397" s="147"/>
      <c r="P397" s="146"/>
      <c r="Q397" s="143">
        <v>29769.15</v>
      </c>
      <c r="R397" s="143">
        <v>15449.79</v>
      </c>
      <c r="S397" s="144">
        <f t="shared" si="106"/>
        <v>14319.36</v>
      </c>
      <c r="T397" s="145">
        <f t="shared" si="107"/>
        <v>0.92683201519243952</v>
      </c>
      <c r="U397" s="146"/>
      <c r="V397" s="143">
        <v>61211.519999999997</v>
      </c>
      <c r="W397" s="143">
        <v>75475.360000000001</v>
      </c>
      <c r="X397" s="144">
        <f t="shared" si="108"/>
        <v>-14263.840000000004</v>
      </c>
      <c r="Y397" s="145">
        <f t="shared" si="109"/>
        <v>-0.18898671036481315</v>
      </c>
      <c r="Z397" s="148"/>
      <c r="AA397" s="149">
        <v>3040.05</v>
      </c>
      <c r="AB397" s="150"/>
      <c r="AC397" s="117">
        <v>3597.4700000000003</v>
      </c>
      <c r="AD397" s="117">
        <v>8812.27</v>
      </c>
      <c r="AE397" s="117">
        <v>10072.75</v>
      </c>
      <c r="AF397" s="117">
        <v>-1573.43</v>
      </c>
      <c r="AG397" s="117">
        <v>8932.07</v>
      </c>
      <c r="AH397" s="117">
        <v>-1463.14</v>
      </c>
      <c r="AI397" s="117">
        <v>605.79</v>
      </c>
      <c r="AJ397" s="117">
        <v>10193.460000000001</v>
      </c>
      <c r="AK397" s="117">
        <v>11654.9</v>
      </c>
      <c r="AL397" s="117">
        <v>1987.91</v>
      </c>
      <c r="AM397" s="117">
        <v>-8967.94</v>
      </c>
      <c r="AN397" s="117">
        <v>17061.66</v>
      </c>
      <c r="AO397" s="150"/>
      <c r="AP397" s="117">
        <v>8926.74</v>
      </c>
      <c r="AQ397" s="117">
        <v>3780.75</v>
      </c>
      <c r="AR397" s="117">
        <v>653.53</v>
      </c>
      <c r="AS397" s="117">
        <v>0</v>
      </c>
      <c r="AT397" s="117">
        <v>0</v>
      </c>
      <c r="AU397" s="117">
        <v>0</v>
      </c>
      <c r="AV397" s="117">
        <v>0</v>
      </c>
      <c r="AW397" s="117">
        <v>0</v>
      </c>
      <c r="AX397" s="117">
        <v>0</v>
      </c>
      <c r="AY397" s="117">
        <v>0</v>
      </c>
      <c r="AZ397" s="117">
        <v>0</v>
      </c>
      <c r="BA397" s="117">
        <v>0</v>
      </c>
    </row>
    <row r="398" spans="1:53" s="211" customFormat="1" outlineLevel="1" x14ac:dyDescent="0.25">
      <c r="A398" s="211" t="s">
        <v>1201</v>
      </c>
      <c r="B398" s="212"/>
      <c r="C398" s="213" t="s">
        <v>1202</v>
      </c>
      <c r="D398" s="229"/>
      <c r="E398" s="229"/>
      <c r="F398" s="215">
        <v>2992044.83</v>
      </c>
      <c r="G398" s="215">
        <v>2655529.44</v>
      </c>
      <c r="H398" s="236">
        <f t="shared" si="102"/>
        <v>336515.39000000013</v>
      </c>
      <c r="I398" s="237">
        <f t="shared" si="103"/>
        <v>0.12672252279756316</v>
      </c>
      <c r="J398" s="231"/>
      <c r="K398" s="215">
        <v>6523802.0800000001</v>
      </c>
      <c r="L398" s="215">
        <v>6413445.1600000011</v>
      </c>
      <c r="M398" s="236">
        <f t="shared" si="104"/>
        <v>110356.91999999899</v>
      </c>
      <c r="N398" s="237">
        <f t="shared" si="105"/>
        <v>1.7207119924917073E-2</v>
      </c>
      <c r="O398" s="247"/>
      <c r="P398" s="233"/>
      <c r="Q398" s="215">
        <v>9529996.8100000024</v>
      </c>
      <c r="R398" s="215">
        <v>10475196.810000001</v>
      </c>
      <c r="S398" s="236">
        <f t="shared" si="106"/>
        <v>-945199.99999999814</v>
      </c>
      <c r="T398" s="237">
        <f t="shared" si="107"/>
        <v>-9.0232194883219388E-2</v>
      </c>
      <c r="U398" s="233"/>
      <c r="V398" s="215">
        <v>40451262.076999992</v>
      </c>
      <c r="W398" s="215">
        <v>40056469.200000003</v>
      </c>
      <c r="X398" s="236">
        <f t="shared" si="108"/>
        <v>394792.87699998915</v>
      </c>
      <c r="Y398" s="232">
        <f t="shared" si="109"/>
        <v>9.8559080439368611E-3</v>
      </c>
      <c r="AA398" s="215">
        <v>4061751.65</v>
      </c>
      <c r="AB398" s="235"/>
      <c r="AC398" s="215">
        <v>3757915.7200000011</v>
      </c>
      <c r="AD398" s="215">
        <v>2655529.44</v>
      </c>
      <c r="AE398" s="215">
        <v>2791643.2700000005</v>
      </c>
      <c r="AF398" s="215">
        <v>3366817.94</v>
      </c>
      <c r="AG398" s="215">
        <v>3294380.1869999999</v>
      </c>
      <c r="AH398" s="215">
        <v>4635473.879999999</v>
      </c>
      <c r="AI398" s="215">
        <v>4114575.7</v>
      </c>
      <c r="AJ398" s="215">
        <v>3120545.3</v>
      </c>
      <c r="AK398" s="215">
        <v>3560857.2</v>
      </c>
      <c r="AL398" s="215">
        <v>3446885.85</v>
      </c>
      <c r="AM398" s="215">
        <v>2590085.9400000004</v>
      </c>
      <c r="AN398" s="215">
        <v>3006194.7300000004</v>
      </c>
      <c r="AO398" s="235"/>
      <c r="AP398" s="215">
        <v>3531757.25</v>
      </c>
      <c r="AQ398" s="215">
        <v>2992044.83</v>
      </c>
      <c r="AR398" s="215">
        <v>-1452274.27</v>
      </c>
      <c r="AS398" s="215">
        <v>0</v>
      </c>
      <c r="AT398" s="215">
        <v>0</v>
      </c>
      <c r="AU398" s="215">
        <v>0</v>
      </c>
      <c r="AV398" s="215">
        <v>0</v>
      </c>
      <c r="AW398" s="215">
        <v>0</v>
      </c>
      <c r="AX398" s="215">
        <v>0</v>
      </c>
      <c r="AY398" s="215">
        <v>0</v>
      </c>
      <c r="AZ398" s="215">
        <v>0</v>
      </c>
      <c r="BA398" s="215">
        <v>0</v>
      </c>
    </row>
    <row r="399" spans="1:53" s="211" customFormat="1" ht="0.75" customHeight="1" outlineLevel="2" x14ac:dyDescent="0.25">
      <c r="B399" s="212"/>
      <c r="C399" s="213"/>
      <c r="D399" s="229"/>
      <c r="E399" s="229"/>
      <c r="F399" s="215"/>
      <c r="G399" s="215"/>
      <c r="H399" s="215"/>
      <c r="I399" s="230"/>
      <c r="J399" s="231"/>
      <c r="K399" s="215"/>
      <c r="L399" s="215"/>
      <c r="M399" s="215"/>
      <c r="N399" s="237"/>
      <c r="O399" s="247"/>
      <c r="P399" s="233"/>
      <c r="Q399" s="215"/>
      <c r="R399" s="215"/>
      <c r="S399" s="215"/>
      <c r="T399" s="230"/>
      <c r="U399" s="233"/>
      <c r="V399" s="215"/>
      <c r="W399" s="215"/>
      <c r="X399" s="215"/>
      <c r="Y399" s="234"/>
      <c r="AA399" s="215"/>
      <c r="AB399" s="235"/>
      <c r="AC399" s="215"/>
      <c r="AD399" s="215"/>
      <c r="AE399" s="215"/>
      <c r="AF399" s="215"/>
      <c r="AG399" s="215"/>
      <c r="AH399" s="215"/>
      <c r="AI399" s="215"/>
      <c r="AJ399" s="215"/>
      <c r="AK399" s="215"/>
      <c r="AL399" s="215"/>
      <c r="AM399" s="215"/>
      <c r="AN399" s="215"/>
      <c r="AO399" s="235"/>
      <c r="AP399" s="215"/>
      <c r="AQ399" s="215"/>
      <c r="AR399" s="215"/>
      <c r="AS399" s="215"/>
      <c r="AT399" s="215"/>
      <c r="AU399" s="215"/>
      <c r="AV399" s="215"/>
      <c r="AW399" s="215"/>
      <c r="AX399" s="215"/>
      <c r="AY399" s="215"/>
      <c r="AZ399" s="215"/>
      <c r="BA399" s="215"/>
    </row>
    <row r="400" spans="1:53" s="211" customFormat="1" outlineLevel="1" x14ac:dyDescent="0.25">
      <c r="A400" s="211" t="s">
        <v>1203</v>
      </c>
      <c r="B400" s="212"/>
      <c r="C400" s="213" t="s">
        <v>1204</v>
      </c>
      <c r="D400" s="229"/>
      <c r="E400" s="229"/>
      <c r="F400" s="215">
        <v>0</v>
      </c>
      <c r="G400" s="215">
        <v>0</v>
      </c>
      <c r="H400" s="236">
        <f>+F400-G400</f>
        <v>0</v>
      </c>
      <c r="I400" s="237">
        <f>IF(G400&lt;0,IF(H400=0,0,IF(OR(G400=0,F400=0),"N.M.",IF(ABS(H400/G400)&gt;=10,"N.M.",H400/(-G400)))),IF(H400=0,0,IF(OR(G400=0,F400=0),"N.M.",IF(ABS(H400/G400)&gt;=10,"N.M.",H400/G400))))</f>
        <v>0</v>
      </c>
      <c r="J400" s="231"/>
      <c r="K400" s="215">
        <v>0</v>
      </c>
      <c r="L400" s="215">
        <v>0</v>
      </c>
      <c r="M400" s="236">
        <f>+K400-L400</f>
        <v>0</v>
      </c>
      <c r="N400" s="237">
        <f>IF(L400&lt;0,IF(M400=0,0,IF(OR(L400=0,K400=0),"N.M.",IF(ABS(M400/L400)&gt;=10,"N.M.",M400/(-L400)))),IF(M400=0,0,IF(OR(L400=0,K400=0),"N.M.",IF(ABS(M400/L400)&gt;=10,"N.M.",M400/L400))))</f>
        <v>0</v>
      </c>
      <c r="O400" s="247"/>
      <c r="P400" s="233"/>
      <c r="Q400" s="215">
        <v>0</v>
      </c>
      <c r="R400" s="215">
        <v>0</v>
      </c>
      <c r="S400" s="236">
        <f>+Q400-R400</f>
        <v>0</v>
      </c>
      <c r="T400" s="237">
        <f>IF(R400&lt;0,IF(S400=0,0,IF(OR(R400=0,Q400=0),"N.M.",IF(ABS(S400/R400)&gt;=10,"N.M.",S400/(-R400)))),IF(S400=0,0,IF(OR(R400=0,Q400=0),"N.M.",IF(ABS(S400/R400)&gt;=10,"N.M.",S400/R400))))</f>
        <v>0</v>
      </c>
      <c r="U400" s="233"/>
      <c r="V400" s="215">
        <v>0</v>
      </c>
      <c r="W400" s="215">
        <v>0</v>
      </c>
      <c r="X400" s="236">
        <f>+V400-W400</f>
        <v>0</v>
      </c>
      <c r="Y400" s="232">
        <f>IF(W400&lt;0,IF(X400=0,0,IF(OR(W400=0,V400=0),"N.M.",IF(ABS(X400/W400)&gt;=10,"N.M.",X400/(-W400)))),IF(X400=0,0,IF(OR(W400=0,V400=0),"N.M.",IF(ABS(X400/W400)&gt;=10,"N.M.",X400/W400))))</f>
        <v>0</v>
      </c>
      <c r="AA400" s="215">
        <v>0</v>
      </c>
      <c r="AB400" s="235"/>
      <c r="AC400" s="215">
        <v>0</v>
      </c>
      <c r="AD400" s="215">
        <v>0</v>
      </c>
      <c r="AE400" s="215">
        <v>0</v>
      </c>
      <c r="AF400" s="215">
        <v>0</v>
      </c>
      <c r="AG400" s="215">
        <v>0</v>
      </c>
      <c r="AH400" s="215">
        <v>0</v>
      </c>
      <c r="AI400" s="215">
        <v>0</v>
      </c>
      <c r="AJ400" s="215">
        <v>0</v>
      </c>
      <c r="AK400" s="215">
        <v>0</v>
      </c>
      <c r="AL400" s="215">
        <v>0</v>
      </c>
      <c r="AM400" s="215">
        <v>0</v>
      </c>
      <c r="AN400" s="215">
        <v>0</v>
      </c>
      <c r="AO400" s="235"/>
      <c r="AP400" s="215">
        <v>0</v>
      </c>
      <c r="AQ400" s="215">
        <v>0</v>
      </c>
      <c r="AR400" s="215">
        <v>0</v>
      </c>
      <c r="AS400" s="215">
        <v>0</v>
      </c>
      <c r="AT400" s="215">
        <v>0</v>
      </c>
      <c r="AU400" s="215">
        <v>0</v>
      </c>
      <c r="AV400" s="215">
        <v>0</v>
      </c>
      <c r="AW400" s="215">
        <v>0</v>
      </c>
      <c r="AX400" s="215">
        <v>0</v>
      </c>
      <c r="AY400" s="215">
        <v>0</v>
      </c>
      <c r="AZ400" s="215">
        <v>0</v>
      </c>
      <c r="BA400" s="215">
        <v>0</v>
      </c>
    </row>
    <row r="401" spans="1:53" s="211" customFormat="1" ht="0.75" customHeight="1" outlineLevel="2" x14ac:dyDescent="0.25">
      <c r="B401" s="212"/>
      <c r="C401" s="213"/>
      <c r="D401" s="229"/>
      <c r="E401" s="229"/>
      <c r="F401" s="215"/>
      <c r="G401" s="215"/>
      <c r="H401" s="215"/>
      <c r="I401" s="230"/>
      <c r="J401" s="231"/>
      <c r="K401" s="215"/>
      <c r="L401" s="215"/>
      <c r="M401" s="215"/>
      <c r="N401" s="237"/>
      <c r="O401" s="247"/>
      <c r="P401" s="233"/>
      <c r="Q401" s="215"/>
      <c r="R401" s="215"/>
      <c r="S401" s="215"/>
      <c r="T401" s="230"/>
      <c r="U401" s="233"/>
      <c r="V401" s="215"/>
      <c r="W401" s="215"/>
      <c r="X401" s="215"/>
      <c r="Y401" s="234"/>
      <c r="AA401" s="215"/>
      <c r="AB401" s="235"/>
      <c r="AC401" s="215"/>
      <c r="AD401" s="215"/>
      <c r="AE401" s="215"/>
      <c r="AF401" s="215"/>
      <c r="AG401" s="215"/>
      <c r="AH401" s="215"/>
      <c r="AI401" s="215"/>
      <c r="AJ401" s="215"/>
      <c r="AK401" s="215"/>
      <c r="AL401" s="215"/>
      <c r="AM401" s="215"/>
      <c r="AN401" s="215"/>
      <c r="AO401" s="235"/>
      <c r="AP401" s="215"/>
      <c r="AQ401" s="215"/>
      <c r="AR401" s="215"/>
      <c r="AS401" s="215"/>
      <c r="AT401" s="215"/>
      <c r="AU401" s="215"/>
      <c r="AV401" s="215"/>
      <c r="AW401" s="215"/>
      <c r="AX401" s="215"/>
      <c r="AY401" s="215"/>
      <c r="AZ401" s="215"/>
      <c r="BA401" s="215"/>
    </row>
    <row r="402" spans="1:53" s="138" customFormat="1" outlineLevel="2" x14ac:dyDescent="0.25">
      <c r="A402" s="138" t="s">
        <v>1205</v>
      </c>
      <c r="B402" s="139" t="s">
        <v>1206</v>
      </c>
      <c r="C402" s="140" t="s">
        <v>1207</v>
      </c>
      <c r="D402" s="141"/>
      <c r="E402" s="142"/>
      <c r="F402" s="143">
        <v>0</v>
      </c>
      <c r="G402" s="143">
        <v>0</v>
      </c>
      <c r="H402" s="144">
        <f t="shared" ref="H402:H412" si="110">+F402-G402</f>
        <v>0</v>
      </c>
      <c r="I402" s="145">
        <f t="shared" ref="I402:I412" si="111">IF(G402&lt;0,IF(H402=0,0,IF(OR(G402=0,F402=0),"N.M.",IF(ABS(H402/G402)&gt;=10,"N.M.",H402/(-G402)))),IF(H402=0,0,IF(OR(G402=0,F402=0),"N.M.",IF(ABS(H402/G402)&gt;=10,"N.M.",H402/G402))))</f>
        <v>0</v>
      </c>
      <c r="J402" s="146"/>
      <c r="K402" s="143">
        <v>0</v>
      </c>
      <c r="L402" s="143">
        <v>0</v>
      </c>
      <c r="M402" s="144">
        <f t="shared" ref="M402:M412" si="112">+K402-L402</f>
        <v>0</v>
      </c>
      <c r="N402" s="145">
        <f t="shared" ref="N402:N412" si="113">IF(L402&lt;0,IF(M402=0,0,IF(OR(L402=0,K402=0),"N.M.",IF(ABS(M402/L402)&gt;=10,"N.M.",M402/(-L402)))),IF(M402=0,0,IF(OR(L402=0,K402=0),"N.M.",IF(ABS(M402/L402)&gt;=10,"N.M.",M402/L402))))</f>
        <v>0</v>
      </c>
      <c r="O402" s="147"/>
      <c r="P402" s="146"/>
      <c r="Q402" s="143">
        <v>0</v>
      </c>
      <c r="R402" s="143">
        <v>0</v>
      </c>
      <c r="S402" s="144">
        <f t="shared" ref="S402:S412" si="114">+Q402-R402</f>
        <v>0</v>
      </c>
      <c r="T402" s="145">
        <f t="shared" ref="T402:T412" si="115">IF(R402&lt;0,IF(S402=0,0,IF(OR(R402=0,Q402=0),"N.M.",IF(ABS(S402/R402)&gt;=10,"N.M.",S402/(-R402)))),IF(S402=0,0,IF(OR(R402=0,Q402=0),"N.M.",IF(ABS(S402/R402)&gt;=10,"N.M.",S402/R402))))</f>
        <v>0</v>
      </c>
      <c r="U402" s="146"/>
      <c r="V402" s="143">
        <v>0</v>
      </c>
      <c r="W402" s="143">
        <v>8.66</v>
      </c>
      <c r="X402" s="144">
        <f t="shared" ref="X402:X412" si="116">+V402-W402</f>
        <v>-8.66</v>
      </c>
      <c r="Y402" s="145" t="str">
        <f t="shared" ref="Y402:Y412" si="117">IF(W402&lt;0,IF(X402=0,0,IF(OR(W402=0,V402=0),"N.M.",IF(ABS(X402/W402)&gt;=10,"N.M.",X402/(-W402)))),IF(X402=0,0,IF(OR(W402=0,V402=0),"N.M.",IF(ABS(X402/W402)&gt;=10,"N.M.",X402/W402))))</f>
        <v>N.M.</v>
      </c>
      <c r="Z402" s="148"/>
      <c r="AA402" s="149">
        <v>0</v>
      </c>
      <c r="AB402" s="150"/>
      <c r="AC402" s="117">
        <v>0</v>
      </c>
      <c r="AD402" s="117">
        <v>0</v>
      </c>
      <c r="AE402" s="117">
        <v>0</v>
      </c>
      <c r="AF402" s="117">
        <v>0</v>
      </c>
      <c r="AG402" s="117">
        <v>0</v>
      </c>
      <c r="AH402" s="117">
        <v>0</v>
      </c>
      <c r="AI402" s="117">
        <v>0</v>
      </c>
      <c r="AJ402" s="117">
        <v>0</v>
      </c>
      <c r="AK402" s="117">
        <v>0</v>
      </c>
      <c r="AL402" s="117">
        <v>0</v>
      </c>
      <c r="AM402" s="117">
        <v>0</v>
      </c>
      <c r="AN402" s="117">
        <v>0</v>
      </c>
      <c r="AO402" s="150"/>
      <c r="AP402" s="117">
        <v>0</v>
      </c>
      <c r="AQ402" s="117">
        <v>0</v>
      </c>
      <c r="AR402" s="117">
        <v>0</v>
      </c>
      <c r="AS402" s="117">
        <v>0</v>
      </c>
      <c r="AT402" s="117">
        <v>0</v>
      </c>
      <c r="AU402" s="117">
        <v>0</v>
      </c>
      <c r="AV402" s="117">
        <v>0</v>
      </c>
      <c r="AW402" s="117">
        <v>0</v>
      </c>
      <c r="AX402" s="117">
        <v>0</v>
      </c>
      <c r="AY402" s="117">
        <v>0</v>
      </c>
      <c r="AZ402" s="117">
        <v>0</v>
      </c>
      <c r="BA402" s="117">
        <v>0</v>
      </c>
    </row>
    <row r="403" spans="1:53" s="138" customFormat="1" outlineLevel="2" x14ac:dyDescent="0.25">
      <c r="A403" s="138" t="s">
        <v>1208</v>
      </c>
      <c r="B403" s="139" t="s">
        <v>1209</v>
      </c>
      <c r="C403" s="140" t="s">
        <v>1210</v>
      </c>
      <c r="D403" s="141"/>
      <c r="E403" s="142"/>
      <c r="F403" s="143">
        <v>34985.11</v>
      </c>
      <c r="G403" s="143">
        <v>24632.36</v>
      </c>
      <c r="H403" s="144">
        <f t="shared" si="110"/>
        <v>10352.75</v>
      </c>
      <c r="I403" s="145">
        <f t="shared" si="111"/>
        <v>0.42029062582716392</v>
      </c>
      <c r="J403" s="146"/>
      <c r="K403" s="143">
        <v>64573.090000000004</v>
      </c>
      <c r="L403" s="143">
        <v>51157.97</v>
      </c>
      <c r="M403" s="144">
        <f t="shared" si="112"/>
        <v>13415.120000000003</v>
      </c>
      <c r="N403" s="145">
        <f t="shared" si="113"/>
        <v>0.26222932614409844</v>
      </c>
      <c r="O403" s="147"/>
      <c r="P403" s="146"/>
      <c r="Q403" s="143">
        <v>255766.63</v>
      </c>
      <c r="R403" s="143">
        <v>138991.14000000001</v>
      </c>
      <c r="S403" s="144">
        <f t="shared" si="114"/>
        <v>116775.48999999999</v>
      </c>
      <c r="T403" s="145">
        <f t="shared" si="115"/>
        <v>0.84016499181170812</v>
      </c>
      <c r="U403" s="146"/>
      <c r="V403" s="143">
        <v>593990.94999999995</v>
      </c>
      <c r="W403" s="143">
        <v>607507.25</v>
      </c>
      <c r="X403" s="144">
        <f t="shared" si="116"/>
        <v>-13516.300000000047</v>
      </c>
      <c r="Y403" s="145">
        <f t="shared" si="117"/>
        <v>-2.2248787977427506E-2</v>
      </c>
      <c r="Z403" s="148"/>
      <c r="AA403" s="149">
        <v>87833.17</v>
      </c>
      <c r="AB403" s="150"/>
      <c r="AC403" s="117">
        <v>26525.61</v>
      </c>
      <c r="AD403" s="117">
        <v>24632.36</v>
      </c>
      <c r="AE403" s="117">
        <v>39021.89</v>
      </c>
      <c r="AF403" s="117">
        <v>21948.73</v>
      </c>
      <c r="AG403" s="117">
        <v>24598.52</v>
      </c>
      <c r="AH403" s="117">
        <v>34650.26</v>
      </c>
      <c r="AI403" s="117">
        <v>16217.17</v>
      </c>
      <c r="AJ403" s="117">
        <v>30963.84</v>
      </c>
      <c r="AK403" s="117">
        <v>18703.830000000002</v>
      </c>
      <c r="AL403" s="117">
        <v>46746.12</v>
      </c>
      <c r="AM403" s="117">
        <v>105373.96</v>
      </c>
      <c r="AN403" s="117">
        <v>191193.54</v>
      </c>
      <c r="AO403" s="150"/>
      <c r="AP403" s="117">
        <v>29587.98</v>
      </c>
      <c r="AQ403" s="117">
        <v>34985.11</v>
      </c>
      <c r="AR403" s="117">
        <v>4135.09</v>
      </c>
      <c r="AS403" s="117">
        <v>0</v>
      </c>
      <c r="AT403" s="117">
        <v>0</v>
      </c>
      <c r="AU403" s="117">
        <v>0</v>
      </c>
      <c r="AV403" s="117">
        <v>0</v>
      </c>
      <c r="AW403" s="117">
        <v>0</v>
      </c>
      <c r="AX403" s="117">
        <v>0</v>
      </c>
      <c r="AY403" s="117">
        <v>0</v>
      </c>
      <c r="AZ403" s="117">
        <v>0</v>
      </c>
      <c r="BA403" s="117">
        <v>0</v>
      </c>
    </row>
    <row r="404" spans="1:53" s="138" customFormat="1" outlineLevel="2" x14ac:dyDescent="0.25">
      <c r="A404" s="138" t="s">
        <v>1211</v>
      </c>
      <c r="B404" s="139" t="s">
        <v>1212</v>
      </c>
      <c r="C404" s="140" t="s">
        <v>1213</v>
      </c>
      <c r="D404" s="141"/>
      <c r="E404" s="142"/>
      <c r="F404" s="143">
        <v>13292.050000000001</v>
      </c>
      <c r="G404" s="143">
        <v>14988.81</v>
      </c>
      <c r="H404" s="144">
        <f t="shared" si="110"/>
        <v>-1696.7599999999984</v>
      </c>
      <c r="I404" s="145">
        <f t="shared" si="111"/>
        <v>-0.11320178186260273</v>
      </c>
      <c r="J404" s="146"/>
      <c r="K404" s="143">
        <v>32500.54</v>
      </c>
      <c r="L404" s="143">
        <v>18677.05</v>
      </c>
      <c r="M404" s="144">
        <f t="shared" si="112"/>
        <v>13823.490000000002</v>
      </c>
      <c r="N404" s="145">
        <f t="shared" si="113"/>
        <v>0.74013240849063433</v>
      </c>
      <c r="O404" s="147"/>
      <c r="P404" s="146"/>
      <c r="Q404" s="143">
        <v>88587.02</v>
      </c>
      <c r="R404" s="143">
        <v>105178.01000000001</v>
      </c>
      <c r="S404" s="144">
        <f t="shared" si="114"/>
        <v>-16590.990000000005</v>
      </c>
      <c r="T404" s="145">
        <f t="shared" si="115"/>
        <v>-0.15774200329517551</v>
      </c>
      <c r="U404" s="146"/>
      <c r="V404" s="143">
        <v>138120.1</v>
      </c>
      <c r="W404" s="143">
        <v>171123.61</v>
      </c>
      <c r="X404" s="144">
        <f t="shared" si="116"/>
        <v>-33003.50999999998</v>
      </c>
      <c r="Y404" s="145">
        <f t="shared" si="117"/>
        <v>-0.1928635680371632</v>
      </c>
      <c r="Z404" s="148"/>
      <c r="AA404" s="149">
        <v>86500.96</v>
      </c>
      <c r="AB404" s="150"/>
      <c r="AC404" s="117">
        <v>3688.2400000000002</v>
      </c>
      <c r="AD404" s="117">
        <v>14988.81</v>
      </c>
      <c r="AE404" s="117">
        <v>473.40000000000003</v>
      </c>
      <c r="AF404" s="117">
        <v>431.55</v>
      </c>
      <c r="AG404" s="117">
        <v>5557.9400000000005</v>
      </c>
      <c r="AH404" s="117">
        <v>3551.81</v>
      </c>
      <c r="AI404" s="117">
        <v>7068.87</v>
      </c>
      <c r="AJ404" s="117">
        <v>3212.69</v>
      </c>
      <c r="AK404" s="117">
        <v>6127.59</v>
      </c>
      <c r="AL404" s="117">
        <v>6267.26</v>
      </c>
      <c r="AM404" s="117">
        <v>16841.97</v>
      </c>
      <c r="AN404" s="117">
        <v>56086.48</v>
      </c>
      <c r="AO404" s="150"/>
      <c r="AP404" s="117">
        <v>19208.490000000002</v>
      </c>
      <c r="AQ404" s="117">
        <v>13292.050000000001</v>
      </c>
      <c r="AR404" s="117">
        <v>696.32</v>
      </c>
      <c r="AS404" s="117">
        <v>0</v>
      </c>
      <c r="AT404" s="117">
        <v>0</v>
      </c>
      <c r="AU404" s="117">
        <v>0</v>
      </c>
      <c r="AV404" s="117">
        <v>0</v>
      </c>
      <c r="AW404" s="117">
        <v>0</v>
      </c>
      <c r="AX404" s="117">
        <v>0</v>
      </c>
      <c r="AY404" s="117">
        <v>0</v>
      </c>
      <c r="AZ404" s="117">
        <v>0</v>
      </c>
      <c r="BA404" s="117">
        <v>0</v>
      </c>
    </row>
    <row r="405" spans="1:53" s="138" customFormat="1" outlineLevel="2" x14ac:dyDescent="0.25">
      <c r="A405" s="138" t="s">
        <v>1214</v>
      </c>
      <c r="B405" s="139" t="s">
        <v>1215</v>
      </c>
      <c r="C405" s="140" t="s">
        <v>1216</v>
      </c>
      <c r="D405" s="141"/>
      <c r="E405" s="142"/>
      <c r="F405" s="143">
        <v>-4278.55</v>
      </c>
      <c r="G405" s="143">
        <v>12716.24</v>
      </c>
      <c r="H405" s="144">
        <f t="shared" si="110"/>
        <v>-16994.79</v>
      </c>
      <c r="I405" s="145">
        <f t="shared" si="111"/>
        <v>-1.3364634514604947</v>
      </c>
      <c r="J405" s="146"/>
      <c r="K405" s="143">
        <v>-20040.63</v>
      </c>
      <c r="L405" s="143">
        <v>26422.07</v>
      </c>
      <c r="M405" s="144">
        <f t="shared" si="112"/>
        <v>-46462.7</v>
      </c>
      <c r="N405" s="145">
        <f t="shared" si="113"/>
        <v>-1.7584806943589204</v>
      </c>
      <c r="O405" s="147"/>
      <c r="P405" s="146"/>
      <c r="Q405" s="143">
        <v>11417.45</v>
      </c>
      <c r="R405" s="143">
        <v>41908.67</v>
      </c>
      <c r="S405" s="144">
        <f t="shared" si="114"/>
        <v>-30491.219999999998</v>
      </c>
      <c r="T405" s="145">
        <f t="shared" si="115"/>
        <v>-0.7275635327964356</v>
      </c>
      <c r="U405" s="146"/>
      <c r="V405" s="143">
        <v>141354.62</v>
      </c>
      <c r="W405" s="143">
        <v>240158.71000000002</v>
      </c>
      <c r="X405" s="144">
        <f t="shared" si="116"/>
        <v>-98804.090000000026</v>
      </c>
      <c r="Y405" s="145">
        <f t="shared" si="117"/>
        <v>-0.41141164524076607</v>
      </c>
      <c r="Z405" s="148"/>
      <c r="AA405" s="149">
        <v>15486.6</v>
      </c>
      <c r="AB405" s="150"/>
      <c r="AC405" s="117">
        <v>13705.83</v>
      </c>
      <c r="AD405" s="117">
        <v>12716.24</v>
      </c>
      <c r="AE405" s="117">
        <v>13405.710000000001</v>
      </c>
      <c r="AF405" s="117">
        <v>12657.39</v>
      </c>
      <c r="AG405" s="117">
        <v>12616.95</v>
      </c>
      <c r="AH405" s="117">
        <v>12756.35</v>
      </c>
      <c r="AI405" s="117">
        <v>12845.95</v>
      </c>
      <c r="AJ405" s="117">
        <v>13493.130000000001</v>
      </c>
      <c r="AK405" s="117">
        <v>12669.68</v>
      </c>
      <c r="AL405" s="117">
        <v>12752.02</v>
      </c>
      <c r="AM405" s="117">
        <v>26739.99</v>
      </c>
      <c r="AN405" s="117">
        <v>31458.080000000002</v>
      </c>
      <c r="AO405" s="150"/>
      <c r="AP405" s="117">
        <v>-15762.08</v>
      </c>
      <c r="AQ405" s="117">
        <v>-4278.55</v>
      </c>
      <c r="AR405" s="117">
        <v>0</v>
      </c>
      <c r="AS405" s="117">
        <v>0</v>
      </c>
      <c r="AT405" s="117">
        <v>0</v>
      </c>
      <c r="AU405" s="117">
        <v>0</v>
      </c>
      <c r="AV405" s="117">
        <v>0</v>
      </c>
      <c r="AW405" s="117">
        <v>0</v>
      </c>
      <c r="AX405" s="117">
        <v>0</v>
      </c>
      <c r="AY405" s="117">
        <v>0</v>
      </c>
      <c r="AZ405" s="117">
        <v>0</v>
      </c>
      <c r="BA405" s="117">
        <v>0</v>
      </c>
    </row>
    <row r="406" spans="1:53" s="138" customFormat="1" outlineLevel="2" x14ac:dyDescent="0.25">
      <c r="A406" s="138" t="s">
        <v>1217</v>
      </c>
      <c r="B406" s="139" t="s">
        <v>1218</v>
      </c>
      <c r="C406" s="140" t="s">
        <v>1219</v>
      </c>
      <c r="D406" s="141"/>
      <c r="E406" s="142"/>
      <c r="F406" s="143">
        <v>101110.99</v>
      </c>
      <c r="G406" s="143">
        <v>117546.62</v>
      </c>
      <c r="H406" s="144">
        <f t="shared" si="110"/>
        <v>-16435.62999999999</v>
      </c>
      <c r="I406" s="145">
        <f t="shared" si="111"/>
        <v>-0.139822225428515</v>
      </c>
      <c r="J406" s="146"/>
      <c r="K406" s="143">
        <v>217276.46</v>
      </c>
      <c r="L406" s="143">
        <v>218038.18</v>
      </c>
      <c r="M406" s="144">
        <f t="shared" si="112"/>
        <v>-761.72000000000116</v>
      </c>
      <c r="N406" s="145">
        <f t="shared" si="113"/>
        <v>-3.493516594203828E-3</v>
      </c>
      <c r="O406" s="147"/>
      <c r="P406" s="146"/>
      <c r="Q406" s="143">
        <v>315236.78999999998</v>
      </c>
      <c r="R406" s="143">
        <v>366740.47999999998</v>
      </c>
      <c r="S406" s="144">
        <f t="shared" si="114"/>
        <v>-51503.69</v>
      </c>
      <c r="T406" s="145">
        <f t="shared" si="115"/>
        <v>-0.14043633797937988</v>
      </c>
      <c r="U406" s="146"/>
      <c r="V406" s="143">
        <v>1120528.98</v>
      </c>
      <c r="W406" s="143">
        <v>1226638.51</v>
      </c>
      <c r="X406" s="144">
        <f t="shared" si="116"/>
        <v>-106109.53000000003</v>
      </c>
      <c r="Y406" s="145">
        <f t="shared" si="117"/>
        <v>-8.6504319842363356E-2</v>
      </c>
      <c r="Z406" s="148"/>
      <c r="AA406" s="149">
        <v>148702.30000000002</v>
      </c>
      <c r="AB406" s="150"/>
      <c r="AC406" s="117">
        <v>100491.56</v>
      </c>
      <c r="AD406" s="117">
        <v>117546.62</v>
      </c>
      <c r="AE406" s="117">
        <v>96354.680000000008</v>
      </c>
      <c r="AF406" s="117">
        <v>84397.78</v>
      </c>
      <c r="AG406" s="117">
        <v>78695.27</v>
      </c>
      <c r="AH406" s="117">
        <v>91869.290000000008</v>
      </c>
      <c r="AI406" s="117">
        <v>89448.290000000008</v>
      </c>
      <c r="AJ406" s="117">
        <v>99170.559999999998</v>
      </c>
      <c r="AK406" s="117">
        <v>82328.3</v>
      </c>
      <c r="AL406" s="117">
        <v>99936.56</v>
      </c>
      <c r="AM406" s="117">
        <v>83091.460000000006</v>
      </c>
      <c r="AN406" s="117">
        <v>97960.33</v>
      </c>
      <c r="AO406" s="150"/>
      <c r="AP406" s="117">
        <v>116165.47</v>
      </c>
      <c r="AQ406" s="117">
        <v>101110.99</v>
      </c>
      <c r="AR406" s="117">
        <v>3073.7400000000002</v>
      </c>
      <c r="AS406" s="117">
        <v>0</v>
      </c>
      <c r="AT406" s="117">
        <v>0</v>
      </c>
      <c r="AU406" s="117">
        <v>0</v>
      </c>
      <c r="AV406" s="117">
        <v>0</v>
      </c>
      <c r="AW406" s="117">
        <v>0</v>
      </c>
      <c r="AX406" s="117">
        <v>0</v>
      </c>
      <c r="AY406" s="117">
        <v>0</v>
      </c>
      <c r="AZ406" s="117">
        <v>0</v>
      </c>
      <c r="BA406" s="117">
        <v>0</v>
      </c>
    </row>
    <row r="407" spans="1:53" s="138" customFormat="1" outlineLevel="2" x14ac:dyDescent="0.25">
      <c r="A407" s="138" t="s">
        <v>1220</v>
      </c>
      <c r="B407" s="139" t="s">
        <v>1221</v>
      </c>
      <c r="C407" s="140" t="s">
        <v>1222</v>
      </c>
      <c r="D407" s="141"/>
      <c r="E407" s="142"/>
      <c r="F407" s="143">
        <v>84793.33</v>
      </c>
      <c r="G407" s="143">
        <v>54613.99</v>
      </c>
      <c r="H407" s="144">
        <f t="shared" si="110"/>
        <v>30179.340000000004</v>
      </c>
      <c r="I407" s="145">
        <f t="shared" si="111"/>
        <v>0.55259357538242504</v>
      </c>
      <c r="J407" s="146"/>
      <c r="K407" s="143">
        <v>184640.23</v>
      </c>
      <c r="L407" s="143">
        <v>145920.91</v>
      </c>
      <c r="M407" s="144">
        <f t="shared" si="112"/>
        <v>38719.320000000007</v>
      </c>
      <c r="N407" s="145">
        <f t="shared" si="113"/>
        <v>0.26534456233859838</v>
      </c>
      <c r="O407" s="147"/>
      <c r="P407" s="146"/>
      <c r="Q407" s="143">
        <v>426027.12</v>
      </c>
      <c r="R407" s="143">
        <v>170337.37</v>
      </c>
      <c r="S407" s="144">
        <f t="shared" si="114"/>
        <v>255689.75</v>
      </c>
      <c r="T407" s="145">
        <f t="shared" si="115"/>
        <v>1.5010784186699606</v>
      </c>
      <c r="U407" s="146"/>
      <c r="V407" s="143">
        <v>717575.46</v>
      </c>
      <c r="W407" s="143">
        <v>366626.68000000005</v>
      </c>
      <c r="X407" s="144">
        <f t="shared" si="116"/>
        <v>350948.77999999991</v>
      </c>
      <c r="Y407" s="145">
        <f t="shared" si="117"/>
        <v>0.95723742745617935</v>
      </c>
      <c r="Z407" s="148"/>
      <c r="AA407" s="149">
        <v>24416.46</v>
      </c>
      <c r="AB407" s="150"/>
      <c r="AC407" s="117">
        <v>91306.92</v>
      </c>
      <c r="AD407" s="117">
        <v>54613.99</v>
      </c>
      <c r="AE407" s="117">
        <v>66700.55</v>
      </c>
      <c r="AF407" s="117">
        <v>28632.59</v>
      </c>
      <c r="AG407" s="117">
        <v>33469.83</v>
      </c>
      <c r="AH407" s="117">
        <v>36110.550000000003</v>
      </c>
      <c r="AI407" s="117">
        <v>23511.119999999999</v>
      </c>
      <c r="AJ407" s="117">
        <v>10475.620000000001</v>
      </c>
      <c r="AK407" s="117">
        <v>26977.39</v>
      </c>
      <c r="AL407" s="117">
        <v>26182.2</v>
      </c>
      <c r="AM407" s="117">
        <v>39488.49</v>
      </c>
      <c r="AN407" s="117">
        <v>241386.89</v>
      </c>
      <c r="AO407" s="150"/>
      <c r="AP407" s="117">
        <v>99846.900000000009</v>
      </c>
      <c r="AQ407" s="117">
        <v>84793.33</v>
      </c>
      <c r="AR407" s="117">
        <v>0</v>
      </c>
      <c r="AS407" s="117">
        <v>0</v>
      </c>
      <c r="AT407" s="117">
        <v>0</v>
      </c>
      <c r="AU407" s="117">
        <v>0</v>
      </c>
      <c r="AV407" s="117">
        <v>0</v>
      </c>
      <c r="AW407" s="117">
        <v>0</v>
      </c>
      <c r="AX407" s="117">
        <v>0</v>
      </c>
      <c r="AY407" s="117">
        <v>0</v>
      </c>
      <c r="AZ407" s="117">
        <v>0</v>
      </c>
      <c r="BA407" s="117">
        <v>0</v>
      </c>
    </row>
    <row r="408" spans="1:53" s="138" customFormat="1" outlineLevel="2" x14ac:dyDescent="0.25">
      <c r="A408" s="138" t="s">
        <v>1223</v>
      </c>
      <c r="B408" s="139" t="s">
        <v>1224</v>
      </c>
      <c r="C408" s="140" t="s">
        <v>1225</v>
      </c>
      <c r="D408" s="141"/>
      <c r="E408" s="142"/>
      <c r="F408" s="143">
        <v>0</v>
      </c>
      <c r="G408" s="143">
        <v>43.18</v>
      </c>
      <c r="H408" s="144">
        <f t="shared" si="110"/>
        <v>-43.18</v>
      </c>
      <c r="I408" s="145" t="str">
        <f t="shared" si="111"/>
        <v>N.M.</v>
      </c>
      <c r="J408" s="146"/>
      <c r="K408" s="143">
        <v>21.2</v>
      </c>
      <c r="L408" s="143">
        <v>43.18</v>
      </c>
      <c r="M408" s="144">
        <f t="shared" si="112"/>
        <v>-21.98</v>
      </c>
      <c r="N408" s="145">
        <f t="shared" si="113"/>
        <v>-0.50903195924038913</v>
      </c>
      <c r="O408" s="147"/>
      <c r="P408" s="146"/>
      <c r="Q408" s="143">
        <v>21.2</v>
      </c>
      <c r="R408" s="143">
        <v>43.18</v>
      </c>
      <c r="S408" s="144">
        <f t="shared" si="114"/>
        <v>-21.98</v>
      </c>
      <c r="T408" s="145">
        <f t="shared" si="115"/>
        <v>-0.50903195924038913</v>
      </c>
      <c r="U408" s="146"/>
      <c r="V408" s="143">
        <v>244.25</v>
      </c>
      <c r="W408" s="143">
        <v>43.18</v>
      </c>
      <c r="X408" s="144">
        <f t="shared" si="116"/>
        <v>201.07</v>
      </c>
      <c r="Y408" s="145">
        <f t="shared" si="117"/>
        <v>4.6565539601667441</v>
      </c>
      <c r="Z408" s="148"/>
      <c r="AA408" s="149">
        <v>0</v>
      </c>
      <c r="AB408" s="150"/>
      <c r="AC408" s="117">
        <v>0</v>
      </c>
      <c r="AD408" s="117">
        <v>43.18</v>
      </c>
      <c r="AE408" s="117">
        <v>0</v>
      </c>
      <c r="AF408" s="117">
        <v>0</v>
      </c>
      <c r="AG408" s="117">
        <v>0</v>
      </c>
      <c r="AH408" s="117">
        <v>19.3</v>
      </c>
      <c r="AI408" s="117">
        <v>0</v>
      </c>
      <c r="AJ408" s="117">
        <v>0</v>
      </c>
      <c r="AK408" s="117">
        <v>0</v>
      </c>
      <c r="AL408" s="117">
        <v>0</v>
      </c>
      <c r="AM408" s="117">
        <v>203.75</v>
      </c>
      <c r="AN408" s="117">
        <v>0</v>
      </c>
      <c r="AO408" s="150"/>
      <c r="AP408" s="117">
        <v>21.2</v>
      </c>
      <c r="AQ408" s="117">
        <v>0</v>
      </c>
      <c r="AR408" s="117">
        <v>0</v>
      </c>
      <c r="AS408" s="117">
        <v>0</v>
      </c>
      <c r="AT408" s="117">
        <v>0</v>
      </c>
      <c r="AU408" s="117">
        <v>0</v>
      </c>
      <c r="AV408" s="117">
        <v>0</v>
      </c>
      <c r="AW408" s="117">
        <v>0</v>
      </c>
      <c r="AX408" s="117">
        <v>0</v>
      </c>
      <c r="AY408" s="117">
        <v>0</v>
      </c>
      <c r="AZ408" s="117">
        <v>0</v>
      </c>
      <c r="BA408" s="117">
        <v>0</v>
      </c>
    </row>
    <row r="409" spans="1:53" s="138" customFormat="1" outlineLevel="2" x14ac:dyDescent="0.25">
      <c r="A409" s="138" t="s">
        <v>1226</v>
      </c>
      <c r="B409" s="139" t="s">
        <v>1227</v>
      </c>
      <c r="C409" s="140" t="s">
        <v>1228</v>
      </c>
      <c r="D409" s="141"/>
      <c r="E409" s="142"/>
      <c r="F409" s="143">
        <v>40.49</v>
      </c>
      <c r="G409" s="143">
        <v>21.990000000000002</v>
      </c>
      <c r="H409" s="144">
        <f t="shared" si="110"/>
        <v>18.5</v>
      </c>
      <c r="I409" s="145">
        <f t="shared" si="111"/>
        <v>0.84129149613460652</v>
      </c>
      <c r="J409" s="146"/>
      <c r="K409" s="143">
        <v>81.37</v>
      </c>
      <c r="L409" s="143">
        <v>43.980000000000004</v>
      </c>
      <c r="M409" s="144">
        <f t="shared" si="112"/>
        <v>37.39</v>
      </c>
      <c r="N409" s="145">
        <f t="shared" si="113"/>
        <v>0.85015916325602536</v>
      </c>
      <c r="O409" s="147"/>
      <c r="P409" s="146"/>
      <c r="Q409" s="143">
        <v>122.65</v>
      </c>
      <c r="R409" s="143">
        <v>66.040000000000006</v>
      </c>
      <c r="S409" s="144">
        <f t="shared" si="114"/>
        <v>56.61</v>
      </c>
      <c r="T409" s="145">
        <f t="shared" si="115"/>
        <v>0.85720775287704409</v>
      </c>
      <c r="U409" s="146"/>
      <c r="V409" s="143">
        <v>374.16</v>
      </c>
      <c r="W409" s="143">
        <v>259</v>
      </c>
      <c r="X409" s="144">
        <f t="shared" si="116"/>
        <v>115.16000000000003</v>
      </c>
      <c r="Y409" s="145">
        <f t="shared" si="117"/>
        <v>0.44463320463320471</v>
      </c>
      <c r="Z409" s="148"/>
      <c r="AA409" s="149">
        <v>22.06</v>
      </c>
      <c r="AB409" s="150"/>
      <c r="AC409" s="117">
        <v>21.990000000000002</v>
      </c>
      <c r="AD409" s="117">
        <v>21.990000000000002</v>
      </c>
      <c r="AE409" s="117">
        <v>21.990000000000002</v>
      </c>
      <c r="AF409" s="117">
        <v>22.900000000000002</v>
      </c>
      <c r="AG409" s="117">
        <v>27.87</v>
      </c>
      <c r="AH409" s="117">
        <v>27.85</v>
      </c>
      <c r="AI409" s="117">
        <v>27.330000000000002</v>
      </c>
      <c r="AJ409" s="117">
        <v>27.330000000000002</v>
      </c>
      <c r="AK409" s="117">
        <v>27.330000000000002</v>
      </c>
      <c r="AL409" s="117">
        <v>26.72</v>
      </c>
      <c r="AM409" s="117">
        <v>42.19</v>
      </c>
      <c r="AN409" s="117">
        <v>41.28</v>
      </c>
      <c r="AO409" s="150"/>
      <c r="AP409" s="117">
        <v>40.880000000000003</v>
      </c>
      <c r="AQ409" s="117">
        <v>40.49</v>
      </c>
      <c r="AR409" s="117">
        <v>0</v>
      </c>
      <c r="AS409" s="117">
        <v>0</v>
      </c>
      <c r="AT409" s="117">
        <v>0</v>
      </c>
      <c r="AU409" s="117">
        <v>0</v>
      </c>
      <c r="AV409" s="117">
        <v>0</v>
      </c>
      <c r="AW409" s="117">
        <v>0</v>
      </c>
      <c r="AX409" s="117">
        <v>0</v>
      </c>
      <c r="AY409" s="117">
        <v>0</v>
      </c>
      <c r="AZ409" s="117">
        <v>0</v>
      </c>
      <c r="BA409" s="117">
        <v>0</v>
      </c>
    </row>
    <row r="410" spans="1:53" s="138" customFormat="1" outlineLevel="2" x14ac:dyDescent="0.25">
      <c r="A410" s="138" t="s">
        <v>1229</v>
      </c>
      <c r="B410" s="139" t="s">
        <v>1230</v>
      </c>
      <c r="C410" s="140" t="s">
        <v>1231</v>
      </c>
      <c r="D410" s="141"/>
      <c r="E410" s="142"/>
      <c r="F410" s="143">
        <v>420.78000000000003</v>
      </c>
      <c r="G410" s="143">
        <v>-5748.21</v>
      </c>
      <c r="H410" s="144">
        <f t="shared" si="110"/>
        <v>6168.99</v>
      </c>
      <c r="I410" s="145">
        <f t="shared" si="111"/>
        <v>1.0732019185102841</v>
      </c>
      <c r="J410" s="146"/>
      <c r="K410" s="143">
        <v>1132.55</v>
      </c>
      <c r="L410" s="143">
        <v>823.91</v>
      </c>
      <c r="M410" s="144">
        <f t="shared" si="112"/>
        <v>308.64</v>
      </c>
      <c r="N410" s="145">
        <f t="shared" si="113"/>
        <v>0.37460402228398731</v>
      </c>
      <c r="O410" s="147"/>
      <c r="P410" s="146"/>
      <c r="Q410" s="143">
        <v>1135.3999999999999</v>
      </c>
      <c r="R410" s="143">
        <v>5516.89</v>
      </c>
      <c r="S410" s="144">
        <f t="shared" si="114"/>
        <v>-4381.4900000000007</v>
      </c>
      <c r="T410" s="145">
        <f t="shared" si="115"/>
        <v>-0.7941956428350031</v>
      </c>
      <c r="U410" s="146"/>
      <c r="V410" s="143">
        <v>10983.31</v>
      </c>
      <c r="W410" s="143">
        <v>15214.98</v>
      </c>
      <c r="X410" s="144">
        <f t="shared" si="116"/>
        <v>-4231.67</v>
      </c>
      <c r="Y410" s="145">
        <f t="shared" si="117"/>
        <v>-0.27812524235983221</v>
      </c>
      <c r="Z410" s="148"/>
      <c r="AA410" s="149">
        <v>4692.9800000000005</v>
      </c>
      <c r="AB410" s="150"/>
      <c r="AC410" s="117">
        <v>6572.12</v>
      </c>
      <c r="AD410" s="117">
        <v>-5748.21</v>
      </c>
      <c r="AE410" s="117">
        <v>1952.8700000000001</v>
      </c>
      <c r="AF410" s="117">
        <v>3077.4</v>
      </c>
      <c r="AG410" s="117">
        <v>3235.4300000000003</v>
      </c>
      <c r="AH410" s="117">
        <v>-224</v>
      </c>
      <c r="AI410" s="117">
        <v>338.93</v>
      </c>
      <c r="AJ410" s="117">
        <v>356.74</v>
      </c>
      <c r="AK410" s="117">
        <v>517.16999999999996</v>
      </c>
      <c r="AL410" s="117">
        <v>-102.66</v>
      </c>
      <c r="AM410" s="117">
        <v>696.03</v>
      </c>
      <c r="AN410" s="117">
        <v>2.85</v>
      </c>
      <c r="AO410" s="150"/>
      <c r="AP410" s="117">
        <v>711.77</v>
      </c>
      <c r="AQ410" s="117">
        <v>420.78000000000003</v>
      </c>
      <c r="AR410" s="117">
        <v>396.68</v>
      </c>
      <c r="AS410" s="117">
        <v>0</v>
      </c>
      <c r="AT410" s="117">
        <v>0</v>
      </c>
      <c r="AU410" s="117">
        <v>0</v>
      </c>
      <c r="AV410" s="117">
        <v>0</v>
      </c>
      <c r="AW410" s="117">
        <v>0</v>
      </c>
      <c r="AX410" s="117">
        <v>0</v>
      </c>
      <c r="AY410" s="117">
        <v>0</v>
      </c>
      <c r="AZ410" s="117">
        <v>0</v>
      </c>
      <c r="BA410" s="117">
        <v>0</v>
      </c>
    </row>
    <row r="411" spans="1:53" s="211" customFormat="1" outlineLevel="1" x14ac:dyDescent="0.25">
      <c r="A411" s="211" t="s">
        <v>1232</v>
      </c>
      <c r="B411" s="212"/>
      <c r="C411" s="213" t="s">
        <v>1233</v>
      </c>
      <c r="D411" s="229"/>
      <c r="E411" s="229"/>
      <c r="F411" s="215">
        <v>230364.19999999998</v>
      </c>
      <c r="G411" s="215">
        <v>218814.97999999998</v>
      </c>
      <c r="H411" s="236">
        <f t="shared" si="110"/>
        <v>11549.220000000001</v>
      </c>
      <c r="I411" s="237">
        <f t="shared" si="111"/>
        <v>5.2780755686836441E-2</v>
      </c>
      <c r="J411" s="231"/>
      <c r="K411" s="215">
        <v>480184.80999999994</v>
      </c>
      <c r="L411" s="215">
        <v>461127.25</v>
      </c>
      <c r="M411" s="236">
        <f t="shared" si="112"/>
        <v>19057.559999999939</v>
      </c>
      <c r="N411" s="237">
        <f t="shared" si="113"/>
        <v>4.1328201705711255E-2</v>
      </c>
      <c r="O411" s="247"/>
      <c r="P411" s="233"/>
      <c r="Q411" s="215">
        <v>1098314.2600000002</v>
      </c>
      <c r="R411" s="215">
        <v>828781.78000000014</v>
      </c>
      <c r="S411" s="236">
        <f t="shared" si="114"/>
        <v>269532.4800000001</v>
      </c>
      <c r="T411" s="237">
        <f t="shared" si="115"/>
        <v>0.32521525750722952</v>
      </c>
      <c r="U411" s="233"/>
      <c r="V411" s="215">
        <v>2723171.8299999996</v>
      </c>
      <c r="W411" s="215">
        <v>2627580.5800000005</v>
      </c>
      <c r="X411" s="236">
        <f t="shared" si="116"/>
        <v>95591.249999999069</v>
      </c>
      <c r="Y411" s="232">
        <f t="shared" si="117"/>
        <v>3.6379949953808478E-2</v>
      </c>
      <c r="AA411" s="215">
        <v>367654.53</v>
      </c>
      <c r="AB411" s="235"/>
      <c r="AC411" s="215">
        <v>242312.26999999996</v>
      </c>
      <c r="AD411" s="215">
        <v>218814.97999999998</v>
      </c>
      <c r="AE411" s="215">
        <v>217931.08999999997</v>
      </c>
      <c r="AF411" s="215">
        <v>151168.34</v>
      </c>
      <c r="AG411" s="215">
        <v>158201.81</v>
      </c>
      <c r="AH411" s="215">
        <v>178761.41</v>
      </c>
      <c r="AI411" s="215">
        <v>149457.66</v>
      </c>
      <c r="AJ411" s="215">
        <v>157699.90999999997</v>
      </c>
      <c r="AK411" s="215">
        <v>147351.29</v>
      </c>
      <c r="AL411" s="215">
        <v>191808.22000000003</v>
      </c>
      <c r="AM411" s="215">
        <v>272477.84000000003</v>
      </c>
      <c r="AN411" s="215">
        <v>618129.45000000007</v>
      </c>
      <c r="AO411" s="235"/>
      <c r="AP411" s="215">
        <v>249820.61000000002</v>
      </c>
      <c r="AQ411" s="215">
        <v>230364.19999999998</v>
      </c>
      <c r="AR411" s="215">
        <v>8301.83</v>
      </c>
      <c r="AS411" s="215">
        <v>0</v>
      </c>
      <c r="AT411" s="215">
        <v>0</v>
      </c>
      <c r="AU411" s="215">
        <v>0</v>
      </c>
      <c r="AV411" s="215">
        <v>0</v>
      </c>
      <c r="AW411" s="215">
        <v>0</v>
      </c>
      <c r="AX411" s="215">
        <v>0</v>
      </c>
      <c r="AY411" s="215">
        <v>0</v>
      </c>
      <c r="AZ411" s="215">
        <v>0</v>
      </c>
      <c r="BA411" s="215">
        <v>0</v>
      </c>
    </row>
    <row r="412" spans="1:53" s="244" customFormat="1" x14ac:dyDescent="0.25">
      <c r="A412" s="211"/>
      <c r="B412" s="212" t="s">
        <v>1234</v>
      </c>
      <c r="C412" s="238" t="s">
        <v>1235</v>
      </c>
      <c r="D412" s="246"/>
      <c r="E412" s="246"/>
      <c r="F412" s="241">
        <f>+F411+F400+F398+F384+F372+F370+F367+F365+F362</f>
        <v>5432049.6699999999</v>
      </c>
      <c r="G412" s="241">
        <f>+G411+G400+G398+G384+G372+G370+G367+G365+G362</f>
        <v>5334435.3899999997</v>
      </c>
      <c r="H412" s="236">
        <f t="shared" si="110"/>
        <v>97614.280000000261</v>
      </c>
      <c r="I412" s="237">
        <f t="shared" si="111"/>
        <v>1.829889629612709E-2</v>
      </c>
      <c r="J412" s="242"/>
      <c r="K412" s="241">
        <f>+K411+K400+K398+K384+K372+K370+K367+K365+K362</f>
        <v>11826790.98</v>
      </c>
      <c r="L412" s="241">
        <f>+L411+L400+L398+L384+L372+L370+L367+L365+L362</f>
        <v>12036504.23</v>
      </c>
      <c r="M412" s="236">
        <f t="shared" si="112"/>
        <v>-209713.25</v>
      </c>
      <c r="N412" s="237">
        <f t="shared" si="113"/>
        <v>-1.7423102754145752E-2</v>
      </c>
      <c r="O412" s="148"/>
      <c r="P412" s="243"/>
      <c r="Q412" s="241">
        <f>+Q411+Q400+Q398+Q384+Q372+Q370+Q367+Q365+Q362</f>
        <v>18426542.440000001</v>
      </c>
      <c r="R412" s="241">
        <f>+R411+R400+R398+R384+R372+R370+R367+R365+R362</f>
        <v>17354274.140000001</v>
      </c>
      <c r="S412" s="236">
        <f t="shared" si="114"/>
        <v>1072268.3000000007</v>
      </c>
      <c r="T412" s="237">
        <f t="shared" si="115"/>
        <v>6.1786986384438934E-2</v>
      </c>
      <c r="U412" s="243" t="s">
        <v>1098</v>
      </c>
      <c r="V412" s="241">
        <f>+V411+V400+V398+V384+V372+V370+V367+V365+V362</f>
        <v>71857790.303000003</v>
      </c>
      <c r="W412" s="241">
        <f>+W411+W400+W398+W384+W372+W370+W367+W365+W362</f>
        <v>78832778.030000001</v>
      </c>
      <c r="X412" s="236">
        <f t="shared" si="116"/>
        <v>-6974987.7269999981</v>
      </c>
      <c r="Y412" s="232">
        <f t="shared" si="117"/>
        <v>-8.8478268828045742E-2</v>
      </c>
      <c r="AA412" s="241">
        <f>+AA411+AA400+AA398+AA384+AA372+AA370+AA367+AA365+AA362</f>
        <v>5317769.91</v>
      </c>
      <c r="AB412" s="245"/>
      <c r="AC412" s="241">
        <f t="shared" ref="AC412:AN412" si="118">+AC411+AC400+AC398+AC384+AC372+AC370+AC367+AC365+AC362</f>
        <v>6702068.8400000017</v>
      </c>
      <c r="AD412" s="241">
        <f t="shared" si="118"/>
        <v>5334435.3899999997</v>
      </c>
      <c r="AE412" s="241">
        <f t="shared" si="118"/>
        <v>5640728.1799999997</v>
      </c>
      <c r="AF412" s="241">
        <f t="shared" si="118"/>
        <v>6067921.0699999994</v>
      </c>
      <c r="AG412" s="241">
        <f t="shared" si="118"/>
        <v>5340183.1830000002</v>
      </c>
      <c r="AH412" s="241">
        <f t="shared" si="118"/>
        <v>5359035.5299999993</v>
      </c>
      <c r="AI412" s="241">
        <f t="shared" si="118"/>
        <v>6265512.2400000002</v>
      </c>
      <c r="AJ412" s="241">
        <f t="shared" si="118"/>
        <v>5032697.59</v>
      </c>
      <c r="AK412" s="241">
        <f t="shared" si="118"/>
        <v>6960503.3600000003</v>
      </c>
      <c r="AL412" s="241">
        <f t="shared" si="118"/>
        <v>8018056.3800000008</v>
      </c>
      <c r="AM412" s="241">
        <f t="shared" si="118"/>
        <v>4746610.33</v>
      </c>
      <c r="AN412" s="241">
        <f t="shared" si="118"/>
        <v>6599751.4600000009</v>
      </c>
      <c r="AO412" s="245"/>
      <c r="AP412" s="241">
        <f t="shared" ref="AP412:BA412" si="119">+AP411+AP400+AP398+AP384+AP372+AP370+AP367+AP365+AP362</f>
        <v>6394741.3100000005</v>
      </c>
      <c r="AQ412" s="241">
        <f t="shared" si="119"/>
        <v>5432049.6699999999</v>
      </c>
      <c r="AR412" s="241">
        <f t="shared" si="119"/>
        <v>-1350931.27</v>
      </c>
      <c r="AS412" s="241">
        <f t="shared" si="119"/>
        <v>0</v>
      </c>
      <c r="AT412" s="241">
        <f t="shared" si="119"/>
        <v>0</v>
      </c>
      <c r="AU412" s="241">
        <f t="shared" si="119"/>
        <v>0</v>
      </c>
      <c r="AV412" s="241">
        <f t="shared" si="119"/>
        <v>0</v>
      </c>
      <c r="AW412" s="241">
        <f t="shared" si="119"/>
        <v>0</v>
      </c>
      <c r="AX412" s="241">
        <f t="shared" si="119"/>
        <v>0</v>
      </c>
      <c r="AY412" s="241">
        <f t="shared" si="119"/>
        <v>0</v>
      </c>
      <c r="AZ412" s="241">
        <f t="shared" si="119"/>
        <v>0</v>
      </c>
      <c r="BA412" s="241">
        <f t="shared" si="119"/>
        <v>0</v>
      </c>
    </row>
    <row r="413" spans="1:53" s="244" customFormat="1" ht="0.75" customHeight="1" outlineLevel="2" x14ac:dyDescent="0.25">
      <c r="A413" s="211"/>
      <c r="B413" s="212"/>
      <c r="C413" s="238"/>
      <c r="D413" s="246"/>
      <c r="E413" s="246"/>
      <c r="F413" s="241"/>
      <c r="G413" s="241"/>
      <c r="H413" s="236"/>
      <c r="I413" s="237"/>
      <c r="J413" s="242"/>
      <c r="K413" s="241"/>
      <c r="L413" s="241"/>
      <c r="M413" s="236"/>
      <c r="N413" s="237"/>
      <c r="O413" s="148"/>
      <c r="P413" s="243"/>
      <c r="Q413" s="241"/>
      <c r="R413" s="241"/>
      <c r="S413" s="236"/>
      <c r="T413" s="237"/>
      <c r="U413" s="243"/>
      <c r="V413" s="241"/>
      <c r="W413" s="241"/>
      <c r="X413" s="236"/>
      <c r="Y413" s="232"/>
      <c r="AA413" s="241"/>
      <c r="AB413" s="245"/>
      <c r="AC413" s="241"/>
      <c r="AD413" s="241"/>
      <c r="AE413" s="241"/>
      <c r="AF413" s="241"/>
      <c r="AG413" s="241"/>
      <c r="AH413" s="241"/>
      <c r="AI413" s="241"/>
      <c r="AJ413" s="241"/>
      <c r="AK413" s="241"/>
      <c r="AL413" s="241"/>
      <c r="AM413" s="241"/>
      <c r="AN413" s="241"/>
      <c r="AO413" s="245"/>
      <c r="AP413" s="241"/>
      <c r="AQ413" s="241"/>
      <c r="AR413" s="241"/>
      <c r="AS413" s="241"/>
      <c r="AT413" s="241"/>
      <c r="AU413" s="241"/>
      <c r="AV413" s="241"/>
      <c r="AW413" s="241"/>
      <c r="AX413" s="241"/>
      <c r="AY413" s="241"/>
      <c r="AZ413" s="241"/>
      <c r="BA413" s="241"/>
    </row>
    <row r="414" spans="1:53" s="138" customFormat="1" outlineLevel="2" x14ac:dyDescent="0.25">
      <c r="A414" s="138" t="s">
        <v>1236</v>
      </c>
      <c r="B414" s="139" t="s">
        <v>116</v>
      </c>
      <c r="C414" s="140" t="s">
        <v>1237</v>
      </c>
      <c r="D414" s="141"/>
      <c r="E414" s="142"/>
      <c r="F414" s="143">
        <v>6527733.0300000003</v>
      </c>
      <c r="G414" s="143">
        <v>6405408.4299999997</v>
      </c>
      <c r="H414" s="144">
        <f>+F414-G414</f>
        <v>122324.60000000056</v>
      </c>
      <c r="I414" s="145">
        <f>IF(G414&lt;0,IF(H414=0,0,IF(OR(G414=0,F414=0),"N.M.",IF(ABS(H414/G414)&gt;=10,"N.M.",H414/(-G414)))),IF(H414=0,0,IF(OR(G414=0,F414=0),"N.M.",IF(ABS(H414/G414)&gt;=10,"N.M.",H414/G414))))</f>
        <v>1.909708043394831E-2</v>
      </c>
      <c r="J414" s="146"/>
      <c r="K414" s="143">
        <v>13355194.640000001</v>
      </c>
      <c r="L414" s="143">
        <v>13269588.970000001</v>
      </c>
      <c r="M414" s="144">
        <f>+K414-L414</f>
        <v>85605.669999999925</v>
      </c>
      <c r="N414" s="145">
        <f>IF(L414&lt;0,IF(M414=0,0,IF(OR(L414=0,K414=0),"N.M.",IF(ABS(M414/L414)&gt;=10,"N.M.",M414/(-L414)))),IF(M414=0,0,IF(OR(L414=0,K414=0),"N.M.",IF(ABS(M414/L414)&gt;=10,"N.M.",M414/L414))))</f>
        <v>6.4512676461597985E-3</v>
      </c>
      <c r="O414" s="147"/>
      <c r="P414" s="146"/>
      <c r="Q414" s="143">
        <v>20657452.260000002</v>
      </c>
      <c r="R414" s="143">
        <v>20224544.219999999</v>
      </c>
      <c r="S414" s="144">
        <f>+Q414-R414</f>
        <v>432908.04000000283</v>
      </c>
      <c r="T414" s="145">
        <f>IF(R414&lt;0,IF(S414=0,0,IF(OR(R414=0,Q414=0),"N.M.",IF(ABS(S414/R414)&gt;=10,"N.M.",S414/(-R414)))),IF(S414=0,0,IF(OR(R414=0,Q414=0),"N.M.",IF(ABS(S414/R414)&gt;=10,"N.M.",S414/R414))))</f>
        <v>2.140508262094239E-2</v>
      </c>
      <c r="U414" s="146"/>
      <c r="V414" s="143">
        <v>79215941</v>
      </c>
      <c r="W414" s="143">
        <v>79651038.760000005</v>
      </c>
      <c r="X414" s="144">
        <f>+V414-W414</f>
        <v>-435097.76000000536</v>
      </c>
      <c r="Y414" s="145">
        <f>IF(W414&lt;0,IF(X414=0,0,IF(OR(W414=0,V414=0),"N.M.",IF(ABS(X414/W414)&gt;=10,"N.M.",X414/(-W414)))),IF(X414=0,0,IF(OR(W414=0,V414=0),"N.M.",IF(ABS(X414/W414)&gt;=10,"N.M.",X414/W414))))</f>
        <v>-5.4625497265769164E-3</v>
      </c>
      <c r="Z414" s="148"/>
      <c r="AA414" s="149">
        <v>6954955.25</v>
      </c>
      <c r="AB414" s="150"/>
      <c r="AC414" s="117">
        <v>6864180.54</v>
      </c>
      <c r="AD414" s="117">
        <v>6405408.4299999997</v>
      </c>
      <c r="AE414" s="117">
        <v>6229961.7800000003</v>
      </c>
      <c r="AF414" s="117">
        <v>5934917.6500000004</v>
      </c>
      <c r="AG414" s="117">
        <v>6041457.29</v>
      </c>
      <c r="AH414" s="117">
        <v>7113303.4699999997</v>
      </c>
      <c r="AI414" s="117">
        <v>7274144.9500000002</v>
      </c>
      <c r="AJ414" s="117">
        <v>6900663.2999999998</v>
      </c>
      <c r="AK414" s="117">
        <v>6360691.3300000001</v>
      </c>
      <c r="AL414" s="117">
        <v>6068120.3399999999</v>
      </c>
      <c r="AM414" s="117">
        <v>6635228.6299999999</v>
      </c>
      <c r="AN414" s="117">
        <v>7302257.6200000001</v>
      </c>
      <c r="AO414" s="150"/>
      <c r="AP414" s="117">
        <v>6827461.6100000003</v>
      </c>
      <c r="AQ414" s="117">
        <v>6527733.0300000003</v>
      </c>
      <c r="AR414" s="117">
        <v>1885095.83</v>
      </c>
      <c r="AS414" s="117">
        <v>-111676.16</v>
      </c>
      <c r="AT414" s="117">
        <v>0</v>
      </c>
      <c r="AU414" s="117">
        <v>0</v>
      </c>
      <c r="AV414" s="117">
        <v>0</v>
      </c>
      <c r="AW414" s="117">
        <v>0</v>
      </c>
      <c r="AX414" s="117">
        <v>0</v>
      </c>
      <c r="AY414" s="117">
        <v>0</v>
      </c>
      <c r="AZ414" s="117">
        <v>0</v>
      </c>
      <c r="BA414" s="117">
        <v>0</v>
      </c>
    </row>
    <row r="415" spans="1:53" s="244" customFormat="1" x14ac:dyDescent="0.25">
      <c r="A415" s="211" t="s">
        <v>1238</v>
      </c>
      <c r="B415" s="212" t="s">
        <v>1239</v>
      </c>
      <c r="C415" s="238" t="s">
        <v>1240</v>
      </c>
      <c r="D415" s="246"/>
      <c r="E415" s="246"/>
      <c r="F415" s="241">
        <v>6527733.0300000003</v>
      </c>
      <c r="G415" s="241">
        <v>6405408.4299999997</v>
      </c>
      <c r="H415" s="236">
        <f>+F415-G415</f>
        <v>122324.60000000056</v>
      </c>
      <c r="I415" s="237">
        <f>IF(G415&lt;0,IF(H415=0,0,IF(OR(G415=0,F415=0),"N.M.",IF(ABS(H415/G415)&gt;=10,"N.M.",H415/(-G415)))),IF(H415=0,0,IF(OR(G415=0,F415=0),"N.M.",IF(ABS(H415/G415)&gt;=10,"N.M.",H415/G415))))</f>
        <v>1.909708043394831E-2</v>
      </c>
      <c r="J415" s="242"/>
      <c r="K415" s="241">
        <v>13355194.640000001</v>
      </c>
      <c r="L415" s="241">
        <v>13269588.970000001</v>
      </c>
      <c r="M415" s="236">
        <f>+K415-L415</f>
        <v>85605.669999999925</v>
      </c>
      <c r="N415" s="237">
        <f>IF(L415&lt;0,IF(M415=0,0,IF(OR(L415=0,K415=0),"N.M.",IF(ABS(M415/L415)&gt;=10,"N.M.",M415/(-L415)))),IF(M415=0,0,IF(OR(L415=0,K415=0),"N.M.",IF(ABS(M415/L415)&gt;=10,"N.M.",M415/L415))))</f>
        <v>6.4512676461597985E-3</v>
      </c>
      <c r="O415" s="148"/>
      <c r="P415" s="243"/>
      <c r="Q415" s="241">
        <v>20657452.260000002</v>
      </c>
      <c r="R415" s="241">
        <v>20224544.219999999</v>
      </c>
      <c r="S415" s="236">
        <f>+Q415-R415</f>
        <v>432908.04000000283</v>
      </c>
      <c r="T415" s="237">
        <f>IF(R415&lt;0,IF(S415=0,0,IF(OR(R415=0,Q415=0),"N.M.",IF(ABS(S415/R415)&gt;=10,"N.M.",S415/(-R415)))),IF(S415=0,0,IF(OR(R415=0,Q415=0),"N.M.",IF(ABS(S415/R415)&gt;=10,"N.M.",S415/R415))))</f>
        <v>2.140508262094239E-2</v>
      </c>
      <c r="U415" s="243" t="s">
        <v>1098</v>
      </c>
      <c r="V415" s="241">
        <v>79215941</v>
      </c>
      <c r="W415" s="241">
        <v>79651038.760000005</v>
      </c>
      <c r="X415" s="236">
        <f>+V415-W415</f>
        <v>-435097.76000000536</v>
      </c>
      <c r="Y415" s="232">
        <f>IF(W415&lt;0,IF(X415=0,0,IF(OR(W415=0,V415=0),"N.M.",IF(ABS(X415/W415)&gt;=10,"N.M.",X415/(-W415)))),IF(X415=0,0,IF(OR(W415=0,V415=0),"N.M.",IF(ABS(X415/W415)&gt;=10,"N.M.",X415/W415))))</f>
        <v>-5.4625497265769164E-3</v>
      </c>
      <c r="AA415" s="241">
        <v>6954955.25</v>
      </c>
      <c r="AB415" s="245"/>
      <c r="AC415" s="241">
        <v>6864180.54</v>
      </c>
      <c r="AD415" s="241">
        <v>6405408.4299999997</v>
      </c>
      <c r="AE415" s="241">
        <v>6229961.7800000003</v>
      </c>
      <c r="AF415" s="241">
        <v>5934917.6500000004</v>
      </c>
      <c r="AG415" s="241">
        <v>6041457.29</v>
      </c>
      <c r="AH415" s="241">
        <v>7113303.4699999997</v>
      </c>
      <c r="AI415" s="241">
        <v>7274144.9500000002</v>
      </c>
      <c r="AJ415" s="241">
        <v>6900663.2999999998</v>
      </c>
      <c r="AK415" s="241">
        <v>6360691.3300000001</v>
      </c>
      <c r="AL415" s="241">
        <v>6068120.3399999999</v>
      </c>
      <c r="AM415" s="241">
        <v>6635228.6299999999</v>
      </c>
      <c r="AN415" s="241">
        <v>7302257.6200000001</v>
      </c>
      <c r="AO415" s="245"/>
      <c r="AP415" s="241">
        <v>6827461.6100000003</v>
      </c>
      <c r="AQ415" s="241">
        <v>6527733.0300000003</v>
      </c>
      <c r="AR415" s="241">
        <v>1885095.83</v>
      </c>
      <c r="AS415" s="241">
        <v>-111676.16</v>
      </c>
      <c r="AT415" s="241">
        <v>0</v>
      </c>
      <c r="AU415" s="241">
        <v>0</v>
      </c>
      <c r="AV415" s="241">
        <v>0</v>
      </c>
      <c r="AW415" s="241">
        <v>0</v>
      </c>
      <c r="AX415" s="241">
        <v>0</v>
      </c>
      <c r="AY415" s="241">
        <v>0</v>
      </c>
      <c r="AZ415" s="241">
        <v>0</v>
      </c>
      <c r="BA415" s="241">
        <v>0</v>
      </c>
    </row>
    <row r="416" spans="1:53" s="244" customFormat="1" ht="0.75" customHeight="1" outlineLevel="2" x14ac:dyDescent="0.25">
      <c r="A416" s="211"/>
      <c r="B416" s="212"/>
      <c r="C416" s="238"/>
      <c r="D416" s="246"/>
      <c r="E416" s="246"/>
      <c r="F416" s="241"/>
      <c r="G416" s="241"/>
      <c r="H416" s="236"/>
      <c r="I416" s="237"/>
      <c r="J416" s="242"/>
      <c r="K416" s="241"/>
      <c r="L416" s="241"/>
      <c r="M416" s="236"/>
      <c r="N416" s="237"/>
      <c r="O416" s="148"/>
      <c r="P416" s="243"/>
      <c r="Q416" s="241"/>
      <c r="R416" s="241"/>
      <c r="S416" s="236"/>
      <c r="T416" s="237"/>
      <c r="U416" s="243"/>
      <c r="V416" s="241"/>
      <c r="W416" s="241"/>
      <c r="X416" s="236"/>
      <c r="Y416" s="232"/>
      <c r="AA416" s="241"/>
      <c r="AB416" s="245"/>
      <c r="AC416" s="241"/>
      <c r="AD416" s="241"/>
      <c r="AE416" s="241"/>
      <c r="AF416" s="241"/>
      <c r="AG416" s="241"/>
      <c r="AH416" s="241"/>
      <c r="AI416" s="241"/>
      <c r="AJ416" s="241"/>
      <c r="AK416" s="241"/>
      <c r="AL416" s="241"/>
      <c r="AM416" s="241"/>
      <c r="AN416" s="241"/>
      <c r="AO416" s="245"/>
      <c r="AP416" s="241"/>
      <c r="AQ416" s="241"/>
      <c r="AR416" s="241"/>
      <c r="AS416" s="241"/>
      <c r="AT416" s="241"/>
      <c r="AU416" s="241"/>
      <c r="AV416" s="241"/>
      <c r="AW416" s="241"/>
      <c r="AX416" s="241"/>
      <c r="AY416" s="241"/>
      <c r="AZ416" s="241"/>
      <c r="BA416" s="241"/>
    </row>
    <row r="417" spans="1:53" s="138" customFormat="1" outlineLevel="2" x14ac:dyDescent="0.25">
      <c r="A417" s="138" t="s">
        <v>1241</v>
      </c>
      <c r="B417" s="139" t="s">
        <v>1242</v>
      </c>
      <c r="C417" s="140" t="s">
        <v>1243</v>
      </c>
      <c r="D417" s="141"/>
      <c r="E417" s="142"/>
      <c r="F417" s="143">
        <v>18533.97</v>
      </c>
      <c r="G417" s="143">
        <v>18921.54</v>
      </c>
      <c r="H417" s="144">
        <f>+F417-G417</f>
        <v>-387.56999999999971</v>
      </c>
      <c r="I417" s="145">
        <f>IF(G417&lt;0,IF(H417=0,0,IF(OR(G417=0,F417=0),"N.M.",IF(ABS(H417/G417)&gt;=10,"N.M.",H417/(-G417)))),IF(H417=0,0,IF(OR(G417=0,F417=0),"N.M.",IF(ABS(H417/G417)&gt;=10,"N.M.",H417/G417))))</f>
        <v>-2.0483005083095758E-2</v>
      </c>
      <c r="J417" s="146"/>
      <c r="K417" s="143">
        <v>37067.950000000004</v>
      </c>
      <c r="L417" s="143">
        <v>37843.090000000004</v>
      </c>
      <c r="M417" s="144">
        <f>+K417-L417</f>
        <v>-775.13999999999942</v>
      </c>
      <c r="N417" s="145">
        <f>IF(L417&lt;0,IF(M417=0,0,IF(OR(L417=0,K417=0),"N.M.",IF(ABS(M417/L417)&gt;=10,"N.M.",M417/(-L417)))),IF(M417=0,0,IF(OR(L417=0,K417=0),"N.M.",IF(ABS(M417/L417)&gt;=10,"N.M.",M417/L417))))</f>
        <v>-2.0482999670481436E-2</v>
      </c>
      <c r="O417" s="147"/>
      <c r="P417" s="146"/>
      <c r="Q417" s="143">
        <v>55989.510000000009</v>
      </c>
      <c r="R417" s="143">
        <v>49841.25</v>
      </c>
      <c r="S417" s="144">
        <f>+Q417-R417</f>
        <v>6148.2600000000093</v>
      </c>
      <c r="T417" s="145">
        <f>IF(R417&lt;0,IF(S417=0,0,IF(OR(R417=0,Q417=0),"N.M.",IF(ABS(S417/R417)&gt;=10,"N.M.",S417/(-R417)))),IF(S417=0,0,IF(OR(R417=0,Q417=0),"N.M.",IF(ABS(S417/R417)&gt;=10,"N.M.",S417/R417))))</f>
        <v>0.12335685802422711</v>
      </c>
      <c r="U417" s="146"/>
      <c r="V417" s="143">
        <v>226283.42</v>
      </c>
      <c r="W417" s="143">
        <v>301360.21000000002</v>
      </c>
      <c r="X417" s="144">
        <f>+V417-W417</f>
        <v>-75076.790000000008</v>
      </c>
      <c r="Y417" s="145">
        <f>IF(W417&lt;0,IF(X417=0,0,IF(OR(W417=0,V417=0),"N.M.",IF(ABS(X417/W417)&gt;=10,"N.M.",X417/(-W417)))),IF(X417=0,0,IF(OR(W417=0,V417=0),"N.M.",IF(ABS(X417/W417)&gt;=10,"N.M.",X417/W417))))</f>
        <v>-0.2491264191779001</v>
      </c>
      <c r="Z417" s="148"/>
      <c r="AA417" s="149">
        <v>11998.16</v>
      </c>
      <c r="AB417" s="150"/>
      <c r="AC417" s="117">
        <v>18921.55</v>
      </c>
      <c r="AD417" s="117">
        <v>18921.54</v>
      </c>
      <c r="AE417" s="117">
        <v>18921.55</v>
      </c>
      <c r="AF417" s="117">
        <v>18921.55</v>
      </c>
      <c r="AG417" s="117">
        <v>18921.53</v>
      </c>
      <c r="AH417" s="117">
        <v>18921.54</v>
      </c>
      <c r="AI417" s="117">
        <v>18921.55</v>
      </c>
      <c r="AJ417" s="117">
        <v>18921.54</v>
      </c>
      <c r="AK417" s="117">
        <v>18921.55</v>
      </c>
      <c r="AL417" s="117">
        <v>18921.54</v>
      </c>
      <c r="AM417" s="117">
        <v>18921.560000000001</v>
      </c>
      <c r="AN417" s="117">
        <v>18921.560000000001</v>
      </c>
      <c r="AO417" s="150"/>
      <c r="AP417" s="117">
        <v>18533.98</v>
      </c>
      <c r="AQ417" s="117">
        <v>18533.97</v>
      </c>
      <c r="AR417" s="117">
        <v>0</v>
      </c>
      <c r="AS417" s="117">
        <v>0</v>
      </c>
      <c r="AT417" s="117">
        <v>0</v>
      </c>
      <c r="AU417" s="117">
        <v>0</v>
      </c>
      <c r="AV417" s="117">
        <v>0</v>
      </c>
      <c r="AW417" s="117">
        <v>0</v>
      </c>
      <c r="AX417" s="117">
        <v>0</v>
      </c>
      <c r="AY417" s="117">
        <v>0</v>
      </c>
      <c r="AZ417" s="117">
        <v>0</v>
      </c>
      <c r="BA417" s="117">
        <v>0</v>
      </c>
    </row>
    <row r="418" spans="1:53" s="244" customFormat="1" x14ac:dyDescent="0.25">
      <c r="A418" s="211" t="s">
        <v>1244</v>
      </c>
      <c r="B418" s="212" t="s">
        <v>1245</v>
      </c>
      <c r="C418" s="238" t="s">
        <v>1246</v>
      </c>
      <c r="D418" s="246"/>
      <c r="E418" s="246"/>
      <c r="F418" s="241">
        <v>18533.97</v>
      </c>
      <c r="G418" s="241">
        <v>18921.54</v>
      </c>
      <c r="H418" s="236">
        <f>+F418-G418</f>
        <v>-387.56999999999971</v>
      </c>
      <c r="I418" s="237">
        <f>IF(G418&lt;0,IF(H418=0,0,IF(OR(G418=0,F418=0),"N.M.",IF(ABS(H418/G418)&gt;=10,"N.M.",H418/(-G418)))),IF(H418=0,0,IF(OR(G418=0,F418=0),"N.M.",IF(ABS(H418/G418)&gt;=10,"N.M.",H418/G418))))</f>
        <v>-2.0483005083095758E-2</v>
      </c>
      <c r="J418" s="242"/>
      <c r="K418" s="241">
        <v>37067.950000000004</v>
      </c>
      <c r="L418" s="241">
        <v>37843.090000000004</v>
      </c>
      <c r="M418" s="236">
        <f>+K418-L418</f>
        <v>-775.13999999999942</v>
      </c>
      <c r="N418" s="237">
        <f>IF(L418&lt;0,IF(M418=0,0,IF(OR(L418=0,K418=0),"N.M.",IF(ABS(M418/L418)&gt;=10,"N.M.",M418/(-L418)))),IF(M418=0,0,IF(OR(L418=0,K418=0),"N.M.",IF(ABS(M418/L418)&gt;=10,"N.M.",M418/L418))))</f>
        <v>-2.0482999670481436E-2</v>
      </c>
      <c r="O418" s="148"/>
      <c r="P418" s="243"/>
      <c r="Q418" s="241">
        <v>55989.510000000009</v>
      </c>
      <c r="R418" s="241">
        <v>49841.25</v>
      </c>
      <c r="S418" s="236">
        <f>+Q418-R418</f>
        <v>6148.2600000000093</v>
      </c>
      <c r="T418" s="237">
        <f>IF(R418&lt;0,IF(S418=0,0,IF(OR(R418=0,Q418=0),"N.M.",IF(ABS(S418/R418)&gt;=10,"N.M.",S418/(-R418)))),IF(S418=0,0,IF(OR(R418=0,Q418=0),"N.M.",IF(ABS(S418/R418)&gt;=10,"N.M.",S418/R418))))</f>
        <v>0.12335685802422711</v>
      </c>
      <c r="U418" s="243"/>
      <c r="V418" s="241">
        <v>226283.42</v>
      </c>
      <c r="W418" s="241">
        <v>301360.21000000002</v>
      </c>
      <c r="X418" s="236">
        <f>+V418-W418</f>
        <v>-75076.790000000008</v>
      </c>
      <c r="Y418" s="232">
        <f>IF(W418&lt;0,IF(X418=0,0,IF(OR(W418=0,V418=0),"N.M.",IF(ABS(X418/W418)&gt;=10,"N.M.",X418/(-W418)))),IF(X418=0,0,IF(OR(W418=0,V418=0),"N.M.",IF(ABS(X418/W418)&gt;=10,"N.M.",X418/W418))))</f>
        <v>-0.2491264191779001</v>
      </c>
      <c r="AA418" s="241">
        <v>11998.16</v>
      </c>
      <c r="AB418" s="245"/>
      <c r="AC418" s="241">
        <v>18921.55</v>
      </c>
      <c r="AD418" s="241">
        <v>18921.54</v>
      </c>
      <c r="AE418" s="241">
        <v>18921.55</v>
      </c>
      <c r="AF418" s="241">
        <v>18921.55</v>
      </c>
      <c r="AG418" s="241">
        <v>18921.53</v>
      </c>
      <c r="AH418" s="241">
        <v>18921.54</v>
      </c>
      <c r="AI418" s="241">
        <v>18921.55</v>
      </c>
      <c r="AJ418" s="241">
        <v>18921.54</v>
      </c>
      <c r="AK418" s="241">
        <v>18921.55</v>
      </c>
      <c r="AL418" s="241">
        <v>18921.54</v>
      </c>
      <c r="AM418" s="241">
        <v>18921.560000000001</v>
      </c>
      <c r="AN418" s="241">
        <v>18921.560000000001</v>
      </c>
      <c r="AO418" s="245"/>
      <c r="AP418" s="241">
        <v>18533.98</v>
      </c>
      <c r="AQ418" s="241">
        <v>18533.97</v>
      </c>
      <c r="AR418" s="241">
        <v>0</v>
      </c>
      <c r="AS418" s="241">
        <v>0</v>
      </c>
      <c r="AT418" s="241">
        <v>0</v>
      </c>
      <c r="AU418" s="241">
        <v>0</v>
      </c>
      <c r="AV418" s="241">
        <v>0</v>
      </c>
      <c r="AW418" s="241">
        <v>0</v>
      </c>
      <c r="AX418" s="241">
        <v>0</v>
      </c>
      <c r="AY418" s="241">
        <v>0</v>
      </c>
      <c r="AZ418" s="241">
        <v>0</v>
      </c>
      <c r="BA418" s="241">
        <v>0</v>
      </c>
    </row>
    <row r="419" spans="1:53" s="244" customFormat="1" ht="0.75" customHeight="1" outlineLevel="2" x14ac:dyDescent="0.25">
      <c r="A419" s="211"/>
      <c r="B419" s="212"/>
      <c r="C419" s="238"/>
      <c r="D419" s="246"/>
      <c r="E419" s="246"/>
      <c r="F419" s="241"/>
      <c r="G419" s="241"/>
      <c r="H419" s="236"/>
      <c r="I419" s="237"/>
      <c r="J419" s="242"/>
      <c r="K419" s="241"/>
      <c r="L419" s="241"/>
      <c r="M419" s="236"/>
      <c r="N419" s="237"/>
      <c r="O419" s="148"/>
      <c r="P419" s="243"/>
      <c r="Q419" s="241"/>
      <c r="R419" s="241"/>
      <c r="S419" s="236"/>
      <c r="T419" s="237"/>
      <c r="U419" s="243"/>
      <c r="V419" s="241"/>
      <c r="W419" s="241"/>
      <c r="X419" s="236"/>
      <c r="Y419" s="232"/>
      <c r="AA419" s="241"/>
      <c r="AB419" s="245"/>
      <c r="AC419" s="241"/>
      <c r="AD419" s="241"/>
      <c r="AE419" s="241"/>
      <c r="AF419" s="241"/>
      <c r="AG419" s="241"/>
      <c r="AH419" s="241"/>
      <c r="AI419" s="241"/>
      <c r="AJ419" s="241"/>
      <c r="AK419" s="241"/>
      <c r="AL419" s="241"/>
      <c r="AM419" s="241"/>
      <c r="AN419" s="241"/>
      <c r="AO419" s="245"/>
      <c r="AP419" s="241"/>
      <c r="AQ419" s="241"/>
      <c r="AR419" s="241"/>
      <c r="AS419" s="241"/>
      <c r="AT419" s="241"/>
      <c r="AU419" s="241"/>
      <c r="AV419" s="241"/>
      <c r="AW419" s="241"/>
      <c r="AX419" s="241"/>
      <c r="AY419" s="241"/>
      <c r="AZ419" s="241"/>
      <c r="BA419" s="241"/>
    </row>
    <row r="420" spans="1:53" s="138" customFormat="1" outlineLevel="2" x14ac:dyDescent="0.25">
      <c r="A420" s="138" t="s">
        <v>1247</v>
      </c>
      <c r="B420" s="139" t="s">
        <v>1248</v>
      </c>
      <c r="C420" s="140" t="s">
        <v>1249</v>
      </c>
      <c r="D420" s="141"/>
      <c r="E420" s="142"/>
      <c r="F420" s="143">
        <v>330196.19</v>
      </c>
      <c r="G420" s="143">
        <v>-37553.730000000003</v>
      </c>
      <c r="H420" s="144">
        <f>+F420-G420</f>
        <v>367749.92</v>
      </c>
      <c r="I420" s="145">
        <f>IF(G420&lt;0,IF(H420=0,0,IF(OR(G420=0,F420=0),"N.M.",IF(ABS(H420/G420)&gt;=10,"N.M.",H420/(-G420)))),IF(H420=0,0,IF(OR(G420=0,F420=0),"N.M.",IF(ABS(H420/G420)&gt;=10,"N.M.",H420/G420))))</f>
        <v>9.7926336478427025</v>
      </c>
      <c r="J420" s="146"/>
      <c r="K420" s="143">
        <v>659504.43000000005</v>
      </c>
      <c r="L420" s="143">
        <v>208892.64</v>
      </c>
      <c r="M420" s="144">
        <f>+K420-L420</f>
        <v>450611.79000000004</v>
      </c>
      <c r="N420" s="145">
        <f>IF(L420&lt;0,IF(M420=0,0,IF(OR(L420=0,K420=0),"N.M.",IF(ABS(M420/L420)&gt;=10,"N.M.",M420/(-L420)))),IF(M420=0,0,IF(OR(L420=0,K420=0),"N.M.",IF(ABS(M420/L420)&gt;=10,"N.M.",M420/L420))))</f>
        <v>2.157145364240693</v>
      </c>
      <c r="O420" s="147"/>
      <c r="P420" s="146"/>
      <c r="Q420" s="143">
        <v>962658.15000000014</v>
      </c>
      <c r="R420" s="143">
        <v>588265.14</v>
      </c>
      <c r="S420" s="144">
        <f>+Q420-R420</f>
        <v>374393.01000000013</v>
      </c>
      <c r="T420" s="145">
        <f>IF(R420&lt;0,IF(S420=0,0,IF(OR(R420=0,Q420=0),"N.M.",IF(ABS(S420/R420)&gt;=10,"N.M.",S420/(-R420)))),IF(S420=0,0,IF(OR(R420=0,Q420=0),"N.M.",IF(ABS(S420/R420)&gt;=10,"N.M.",S420/R420))))</f>
        <v>0.63643582551908506</v>
      </c>
      <c r="U420" s="146"/>
      <c r="V420" s="143">
        <v>3345894.1700000004</v>
      </c>
      <c r="W420" s="143">
        <v>3776102.36</v>
      </c>
      <c r="X420" s="144">
        <f>+V420-W420</f>
        <v>-430208.18999999948</v>
      </c>
      <c r="Y420" s="145">
        <f>IF(W420&lt;0,IF(X420=0,0,IF(OR(W420=0,V420=0),"N.M.",IF(ABS(X420/W420)&gt;=10,"N.M.",X420/(-W420)))),IF(X420=0,0,IF(OR(W420=0,V420=0),"N.M.",IF(ABS(X420/W420)&gt;=10,"N.M.",X420/W420))))</f>
        <v>-0.11392916531002076</v>
      </c>
      <c r="Z420" s="148"/>
      <c r="AA420" s="149">
        <v>379372.5</v>
      </c>
      <c r="AB420" s="150"/>
      <c r="AC420" s="117">
        <v>246446.37</v>
      </c>
      <c r="AD420" s="117">
        <v>-37553.730000000003</v>
      </c>
      <c r="AE420" s="117">
        <v>239058.15</v>
      </c>
      <c r="AF420" s="117">
        <v>252987.94</v>
      </c>
      <c r="AG420" s="117">
        <v>255765.55000000002</v>
      </c>
      <c r="AH420" s="117">
        <v>261868.18</v>
      </c>
      <c r="AI420" s="117">
        <v>265043.03999999998</v>
      </c>
      <c r="AJ420" s="117">
        <v>268254.37</v>
      </c>
      <c r="AK420" s="117">
        <v>275348.76</v>
      </c>
      <c r="AL420" s="117">
        <v>279742.39</v>
      </c>
      <c r="AM420" s="117">
        <v>285167.64</v>
      </c>
      <c r="AN420" s="117">
        <v>303153.72000000003</v>
      </c>
      <c r="AO420" s="150"/>
      <c r="AP420" s="117">
        <v>329308.24</v>
      </c>
      <c r="AQ420" s="117">
        <v>330196.19</v>
      </c>
      <c r="AR420" s="117">
        <v>0</v>
      </c>
      <c r="AS420" s="117">
        <v>0</v>
      </c>
      <c r="AT420" s="117">
        <v>0</v>
      </c>
      <c r="AU420" s="117">
        <v>0</v>
      </c>
      <c r="AV420" s="117">
        <v>0</v>
      </c>
      <c r="AW420" s="117">
        <v>0</v>
      </c>
      <c r="AX420" s="117">
        <v>0</v>
      </c>
      <c r="AY420" s="117">
        <v>0</v>
      </c>
      <c r="AZ420" s="117">
        <v>0</v>
      </c>
      <c r="BA420" s="117">
        <v>0</v>
      </c>
    </row>
    <row r="421" spans="1:53" s="244" customFormat="1" x14ac:dyDescent="0.25">
      <c r="A421" s="211" t="s">
        <v>1250</v>
      </c>
      <c r="B421" s="212" t="s">
        <v>1251</v>
      </c>
      <c r="C421" s="238" t="s">
        <v>1252</v>
      </c>
      <c r="D421" s="246"/>
      <c r="E421" s="246"/>
      <c r="F421" s="241">
        <v>330196.19</v>
      </c>
      <c r="G421" s="241">
        <v>-37553.730000000003</v>
      </c>
      <c r="H421" s="236">
        <f>+F421-G421</f>
        <v>367749.92</v>
      </c>
      <c r="I421" s="237">
        <f>IF(G421&lt;0,IF(H421=0,0,IF(OR(G421=0,F421=0),"N.M.",IF(ABS(H421/G421)&gt;=10,"N.M.",H421/(-G421)))),IF(H421=0,0,IF(OR(G421=0,F421=0),"N.M.",IF(ABS(H421/G421)&gt;=10,"N.M.",H421/G421))))</f>
        <v>9.7926336478427025</v>
      </c>
      <c r="J421" s="242"/>
      <c r="K421" s="241">
        <v>659504.43000000005</v>
      </c>
      <c r="L421" s="241">
        <v>208892.64</v>
      </c>
      <c r="M421" s="236">
        <f>+K421-L421</f>
        <v>450611.79000000004</v>
      </c>
      <c r="N421" s="237">
        <f>IF(L421&lt;0,IF(M421=0,0,IF(OR(L421=0,K421=0),"N.M.",IF(ABS(M421/L421)&gt;=10,"N.M.",M421/(-L421)))),IF(M421=0,0,IF(OR(L421=0,K421=0),"N.M.",IF(ABS(M421/L421)&gt;=10,"N.M.",M421/L421))))</f>
        <v>2.157145364240693</v>
      </c>
      <c r="O421" s="148"/>
      <c r="P421" s="243"/>
      <c r="Q421" s="241">
        <v>962658.15000000014</v>
      </c>
      <c r="R421" s="241">
        <v>588265.14</v>
      </c>
      <c r="S421" s="236">
        <f>+Q421-R421</f>
        <v>374393.01000000013</v>
      </c>
      <c r="T421" s="237">
        <f>IF(R421&lt;0,IF(S421=0,0,IF(OR(R421=0,Q421=0),"N.M.",IF(ABS(S421/R421)&gt;=10,"N.M.",S421/(-R421)))),IF(S421=0,0,IF(OR(R421=0,Q421=0),"N.M.",IF(ABS(S421/R421)&gt;=10,"N.M.",S421/R421))))</f>
        <v>0.63643582551908506</v>
      </c>
      <c r="U421" s="243" t="s">
        <v>1098</v>
      </c>
      <c r="V421" s="241">
        <v>3345894.1700000004</v>
      </c>
      <c r="W421" s="241">
        <v>3776102.36</v>
      </c>
      <c r="X421" s="236">
        <f>+V421-W421</f>
        <v>-430208.18999999948</v>
      </c>
      <c r="Y421" s="232">
        <f>IF(W421&lt;0,IF(X421=0,0,IF(OR(W421=0,V421=0),"N.M.",IF(ABS(X421/W421)&gt;=10,"N.M.",X421/(-W421)))),IF(X421=0,0,IF(OR(W421=0,V421=0),"N.M.",IF(ABS(X421/W421)&gt;=10,"N.M.",X421/W421))))</f>
        <v>-0.11392916531002076</v>
      </c>
      <c r="AA421" s="241">
        <v>379372.5</v>
      </c>
      <c r="AB421" s="245"/>
      <c r="AC421" s="241">
        <v>246446.37</v>
      </c>
      <c r="AD421" s="241">
        <v>-37553.730000000003</v>
      </c>
      <c r="AE421" s="241">
        <v>239058.15</v>
      </c>
      <c r="AF421" s="241">
        <v>252987.94</v>
      </c>
      <c r="AG421" s="241">
        <v>255765.55000000002</v>
      </c>
      <c r="AH421" s="241">
        <v>261868.18</v>
      </c>
      <c r="AI421" s="241">
        <v>265043.03999999998</v>
      </c>
      <c r="AJ421" s="241">
        <v>268254.37</v>
      </c>
      <c r="AK421" s="241">
        <v>275348.76</v>
      </c>
      <c r="AL421" s="241">
        <v>279742.39</v>
      </c>
      <c r="AM421" s="241">
        <v>285167.64</v>
      </c>
      <c r="AN421" s="241">
        <v>303153.72000000003</v>
      </c>
      <c r="AO421" s="245"/>
      <c r="AP421" s="241">
        <v>329308.24</v>
      </c>
      <c r="AQ421" s="241">
        <v>330196.19</v>
      </c>
      <c r="AR421" s="241">
        <v>0</v>
      </c>
      <c r="AS421" s="241">
        <v>0</v>
      </c>
      <c r="AT421" s="241">
        <v>0</v>
      </c>
      <c r="AU421" s="241">
        <v>0</v>
      </c>
      <c r="AV421" s="241">
        <v>0</v>
      </c>
      <c r="AW421" s="241">
        <v>0</v>
      </c>
      <c r="AX421" s="241">
        <v>0</v>
      </c>
      <c r="AY421" s="241">
        <v>0</v>
      </c>
      <c r="AZ421" s="241">
        <v>0</v>
      </c>
      <c r="BA421" s="241">
        <v>0</v>
      </c>
    </row>
    <row r="422" spans="1:53" s="244" customFormat="1" ht="0.75" customHeight="1" outlineLevel="2" x14ac:dyDescent="0.25">
      <c r="A422" s="211"/>
      <c r="B422" s="212"/>
      <c r="C422" s="238"/>
      <c r="D422" s="246"/>
      <c r="E422" s="246"/>
      <c r="F422" s="241"/>
      <c r="G422" s="241"/>
      <c r="H422" s="236"/>
      <c r="I422" s="237"/>
      <c r="J422" s="242"/>
      <c r="K422" s="241"/>
      <c r="L422" s="241"/>
      <c r="M422" s="236"/>
      <c r="N422" s="237"/>
      <c r="O422" s="148"/>
      <c r="P422" s="243"/>
      <c r="Q422" s="241"/>
      <c r="R422" s="241"/>
      <c r="S422" s="236"/>
      <c r="T422" s="237"/>
      <c r="U422" s="243"/>
      <c r="V422" s="241"/>
      <c r="W422" s="241"/>
      <c r="X422" s="236"/>
      <c r="Y422" s="232"/>
      <c r="AA422" s="241"/>
      <c r="AB422" s="245"/>
      <c r="AC422" s="241"/>
      <c r="AD422" s="241"/>
      <c r="AE422" s="241"/>
      <c r="AF422" s="241"/>
      <c r="AG422" s="241"/>
      <c r="AH422" s="241"/>
      <c r="AI422" s="241"/>
      <c r="AJ422" s="241"/>
      <c r="AK422" s="241"/>
      <c r="AL422" s="241"/>
      <c r="AM422" s="241"/>
      <c r="AN422" s="241"/>
      <c r="AO422" s="245"/>
      <c r="AP422" s="241"/>
      <c r="AQ422" s="241"/>
      <c r="AR422" s="241"/>
      <c r="AS422" s="241"/>
      <c r="AT422" s="241"/>
      <c r="AU422" s="241"/>
      <c r="AV422" s="241"/>
      <c r="AW422" s="241"/>
      <c r="AX422" s="241"/>
      <c r="AY422" s="241"/>
      <c r="AZ422" s="241"/>
      <c r="BA422" s="241"/>
    </row>
    <row r="423" spans="1:53" s="138" customFormat="1" outlineLevel="2" x14ac:dyDescent="0.25">
      <c r="A423" s="138" t="s">
        <v>1253</v>
      </c>
      <c r="B423" s="139" t="s">
        <v>1254</v>
      </c>
      <c r="C423" s="140" t="s">
        <v>1255</v>
      </c>
      <c r="D423" s="141"/>
      <c r="E423" s="142"/>
      <c r="F423" s="143">
        <v>3218</v>
      </c>
      <c r="G423" s="143">
        <v>3218</v>
      </c>
      <c r="H423" s="144">
        <f>+F423-G423</f>
        <v>0</v>
      </c>
      <c r="I423" s="145">
        <f>IF(G423&lt;0,IF(H423=0,0,IF(OR(G423=0,F423=0),"N.M.",IF(ABS(H423/G423)&gt;=10,"N.M.",H423/(-G423)))),IF(H423=0,0,IF(OR(G423=0,F423=0),"N.M.",IF(ABS(H423/G423)&gt;=10,"N.M.",H423/G423))))</f>
        <v>0</v>
      </c>
      <c r="J423" s="146"/>
      <c r="K423" s="143">
        <v>6436</v>
      </c>
      <c r="L423" s="143">
        <v>6436</v>
      </c>
      <c r="M423" s="144">
        <f>+K423-L423</f>
        <v>0</v>
      </c>
      <c r="N423" s="145">
        <f>IF(L423&lt;0,IF(M423=0,0,IF(OR(L423=0,K423=0),"N.M.",IF(ABS(M423/L423)&gt;=10,"N.M.",M423/(-L423)))),IF(M423=0,0,IF(OR(L423=0,K423=0),"N.M.",IF(ABS(M423/L423)&gt;=10,"N.M.",M423/L423))))</f>
        <v>0</v>
      </c>
      <c r="O423" s="147"/>
      <c r="P423" s="146"/>
      <c r="Q423" s="143">
        <v>9654</v>
      </c>
      <c r="R423" s="143">
        <v>9654</v>
      </c>
      <c r="S423" s="144">
        <f>+Q423-R423</f>
        <v>0</v>
      </c>
      <c r="T423" s="145">
        <f>IF(R423&lt;0,IF(S423=0,0,IF(OR(R423=0,Q423=0),"N.M.",IF(ABS(S423/R423)&gt;=10,"N.M.",S423/(-R423)))),IF(S423=0,0,IF(OR(R423=0,Q423=0),"N.M.",IF(ABS(S423/R423)&gt;=10,"N.M.",S423/R423))))</f>
        <v>0</v>
      </c>
      <c r="U423" s="146"/>
      <c r="V423" s="143">
        <v>38616</v>
      </c>
      <c r="W423" s="143">
        <v>38616</v>
      </c>
      <c r="X423" s="144">
        <f>+V423-W423</f>
        <v>0</v>
      </c>
      <c r="Y423" s="145">
        <f>IF(W423&lt;0,IF(X423=0,0,IF(OR(W423=0,V423=0),"N.M.",IF(ABS(X423/W423)&gt;=10,"N.M.",X423/(-W423)))),IF(X423=0,0,IF(OR(W423=0,V423=0),"N.M.",IF(ABS(X423/W423)&gt;=10,"N.M.",X423/W423))))</f>
        <v>0</v>
      </c>
      <c r="Z423" s="148"/>
      <c r="AA423" s="149">
        <v>3218</v>
      </c>
      <c r="AB423" s="150"/>
      <c r="AC423" s="117">
        <v>3218</v>
      </c>
      <c r="AD423" s="117">
        <v>3218</v>
      </c>
      <c r="AE423" s="117">
        <v>3218</v>
      </c>
      <c r="AF423" s="117">
        <v>3218</v>
      </c>
      <c r="AG423" s="117">
        <v>3218</v>
      </c>
      <c r="AH423" s="117">
        <v>3218</v>
      </c>
      <c r="AI423" s="117">
        <v>3218</v>
      </c>
      <c r="AJ423" s="117">
        <v>3218</v>
      </c>
      <c r="AK423" s="117">
        <v>3218</v>
      </c>
      <c r="AL423" s="117">
        <v>3218</v>
      </c>
      <c r="AM423" s="117">
        <v>3218</v>
      </c>
      <c r="AN423" s="117">
        <v>3218</v>
      </c>
      <c r="AO423" s="150"/>
      <c r="AP423" s="117">
        <v>3218</v>
      </c>
      <c r="AQ423" s="117">
        <v>3218</v>
      </c>
      <c r="AR423" s="117">
        <v>0</v>
      </c>
      <c r="AS423" s="117">
        <v>0</v>
      </c>
      <c r="AT423" s="117">
        <v>0</v>
      </c>
      <c r="AU423" s="117">
        <v>0</v>
      </c>
      <c r="AV423" s="117">
        <v>0</v>
      </c>
      <c r="AW423" s="117">
        <v>0</v>
      </c>
      <c r="AX423" s="117">
        <v>0</v>
      </c>
      <c r="AY423" s="117">
        <v>0</v>
      </c>
      <c r="AZ423" s="117">
        <v>0</v>
      </c>
      <c r="BA423" s="117">
        <v>0</v>
      </c>
    </row>
    <row r="424" spans="1:53" s="244" customFormat="1" x14ac:dyDescent="0.25">
      <c r="A424" s="211" t="s">
        <v>1256</v>
      </c>
      <c r="B424" s="212" t="s">
        <v>1257</v>
      </c>
      <c r="C424" s="238" t="s">
        <v>1258</v>
      </c>
      <c r="D424" s="246"/>
      <c r="E424" s="246"/>
      <c r="F424" s="241">
        <v>3218</v>
      </c>
      <c r="G424" s="241">
        <v>3218</v>
      </c>
      <c r="H424" s="236">
        <f>+F424-G424</f>
        <v>0</v>
      </c>
      <c r="I424" s="237">
        <f>IF(G424&lt;0,IF(H424=0,0,IF(OR(G424=0,F424=0),"N.M.",IF(ABS(H424/G424)&gt;=10,"N.M.",H424/(-G424)))),IF(H424=0,0,IF(OR(G424=0,F424=0),"N.M.",IF(ABS(H424/G424)&gt;=10,"N.M.",H424/G424))))</f>
        <v>0</v>
      </c>
      <c r="J424" s="242"/>
      <c r="K424" s="241">
        <v>6436</v>
      </c>
      <c r="L424" s="241">
        <v>6436</v>
      </c>
      <c r="M424" s="236">
        <f>+K424-L424</f>
        <v>0</v>
      </c>
      <c r="N424" s="237">
        <f>IF(L424&lt;0,IF(M424=0,0,IF(OR(L424=0,K424=0),"N.M.",IF(ABS(M424/L424)&gt;=10,"N.M.",M424/(-L424)))),IF(M424=0,0,IF(OR(L424=0,K424=0),"N.M.",IF(ABS(M424/L424)&gt;=10,"N.M.",M424/L424))))</f>
        <v>0</v>
      </c>
      <c r="O424" s="148"/>
      <c r="P424" s="243"/>
      <c r="Q424" s="241">
        <v>9654</v>
      </c>
      <c r="R424" s="241">
        <v>9654</v>
      </c>
      <c r="S424" s="236">
        <f>+Q424-R424</f>
        <v>0</v>
      </c>
      <c r="T424" s="237">
        <f>IF(R424&lt;0,IF(S424=0,0,IF(OR(R424=0,Q424=0),"N.M.",IF(ABS(S424/R424)&gt;=10,"N.M.",S424/(-R424)))),IF(S424=0,0,IF(OR(R424=0,Q424=0),"N.M.",IF(ABS(S424/R424)&gt;=10,"N.M.",S424/R424))))</f>
        <v>0</v>
      </c>
      <c r="U424" s="243" t="s">
        <v>1098</v>
      </c>
      <c r="V424" s="241">
        <v>38616</v>
      </c>
      <c r="W424" s="241">
        <v>38616</v>
      </c>
      <c r="X424" s="236">
        <f>+V424-W424</f>
        <v>0</v>
      </c>
      <c r="Y424" s="232">
        <f>IF(W424&lt;0,IF(X424=0,0,IF(OR(W424=0,V424=0),"N.M.",IF(ABS(X424/W424)&gt;=10,"N.M.",X424/(-W424)))),IF(X424=0,0,IF(OR(W424=0,V424=0),"N.M.",IF(ABS(X424/W424)&gt;=10,"N.M.",X424/W424))))</f>
        <v>0</v>
      </c>
      <c r="AA424" s="241">
        <v>3218</v>
      </c>
      <c r="AB424" s="245"/>
      <c r="AC424" s="241">
        <v>3218</v>
      </c>
      <c r="AD424" s="241">
        <v>3218</v>
      </c>
      <c r="AE424" s="241">
        <v>3218</v>
      </c>
      <c r="AF424" s="241">
        <v>3218</v>
      </c>
      <c r="AG424" s="241">
        <v>3218</v>
      </c>
      <c r="AH424" s="241">
        <v>3218</v>
      </c>
      <c r="AI424" s="241">
        <v>3218</v>
      </c>
      <c r="AJ424" s="241">
        <v>3218</v>
      </c>
      <c r="AK424" s="241">
        <v>3218</v>
      </c>
      <c r="AL424" s="241">
        <v>3218</v>
      </c>
      <c r="AM424" s="241">
        <v>3218</v>
      </c>
      <c r="AN424" s="241">
        <v>3218</v>
      </c>
      <c r="AO424" s="245"/>
      <c r="AP424" s="241">
        <v>3218</v>
      </c>
      <c r="AQ424" s="241">
        <v>3218</v>
      </c>
      <c r="AR424" s="241">
        <v>0</v>
      </c>
      <c r="AS424" s="241">
        <v>0</v>
      </c>
      <c r="AT424" s="241">
        <v>0</v>
      </c>
      <c r="AU424" s="241">
        <v>0</v>
      </c>
      <c r="AV424" s="241">
        <v>0</v>
      </c>
      <c r="AW424" s="241">
        <v>0</v>
      </c>
      <c r="AX424" s="241">
        <v>0</v>
      </c>
      <c r="AY424" s="241">
        <v>0</v>
      </c>
      <c r="AZ424" s="241">
        <v>0</v>
      </c>
      <c r="BA424" s="241">
        <v>0</v>
      </c>
    </row>
    <row r="425" spans="1:53" s="244" customFormat="1" ht="0.75" customHeight="1" outlineLevel="1" x14ac:dyDescent="0.25">
      <c r="A425" s="211"/>
      <c r="B425" s="212"/>
      <c r="C425" s="238"/>
      <c r="D425" s="246"/>
      <c r="E425" s="246"/>
      <c r="F425" s="241"/>
      <c r="G425" s="241"/>
      <c r="H425" s="236"/>
      <c r="I425" s="237"/>
      <c r="J425" s="242"/>
      <c r="K425" s="241"/>
      <c r="L425" s="241"/>
      <c r="M425" s="236"/>
      <c r="N425" s="237"/>
      <c r="O425" s="148"/>
      <c r="P425" s="243"/>
      <c r="Q425" s="241"/>
      <c r="R425" s="241"/>
      <c r="S425" s="236"/>
      <c r="T425" s="237"/>
      <c r="U425" s="243"/>
      <c r="V425" s="241"/>
      <c r="W425" s="241"/>
      <c r="X425" s="236"/>
      <c r="Y425" s="232"/>
      <c r="AA425" s="241"/>
      <c r="AB425" s="245"/>
      <c r="AC425" s="241"/>
      <c r="AD425" s="241"/>
      <c r="AE425" s="241"/>
      <c r="AF425" s="241"/>
      <c r="AG425" s="241"/>
      <c r="AH425" s="241"/>
      <c r="AI425" s="241"/>
      <c r="AJ425" s="241"/>
      <c r="AK425" s="241"/>
      <c r="AL425" s="241"/>
      <c r="AM425" s="241"/>
      <c r="AN425" s="241"/>
      <c r="AO425" s="245"/>
      <c r="AP425" s="241"/>
      <c r="AQ425" s="241"/>
      <c r="AR425" s="241"/>
      <c r="AS425" s="241"/>
      <c r="AT425" s="241"/>
      <c r="AU425" s="241"/>
      <c r="AV425" s="241"/>
      <c r="AW425" s="241"/>
      <c r="AX425" s="241"/>
      <c r="AY425" s="241"/>
      <c r="AZ425" s="241"/>
      <c r="BA425" s="241"/>
    </row>
    <row r="426" spans="1:53" s="244" customFormat="1" x14ac:dyDescent="0.25">
      <c r="A426" s="211" t="s">
        <v>1259</v>
      </c>
      <c r="B426" s="212" t="s">
        <v>1260</v>
      </c>
      <c r="C426" s="238" t="s">
        <v>1261</v>
      </c>
      <c r="D426" s="246"/>
      <c r="E426" s="246"/>
      <c r="F426" s="241">
        <v>0</v>
      </c>
      <c r="G426" s="241">
        <v>0</v>
      </c>
      <c r="H426" s="236">
        <f>+F426-G426</f>
        <v>0</v>
      </c>
      <c r="I426" s="237">
        <f>IF(G426&lt;0,IF(H426=0,0,IF(OR(G426=0,F426=0),"N.M.",IF(ABS(H426/G426)&gt;=10,"N.M.",H426/(-G426)))),IF(H426=0,0,IF(OR(G426=0,F426=0),"N.M.",IF(ABS(H426/G426)&gt;=10,"N.M.",H426/G426))))</f>
        <v>0</v>
      </c>
      <c r="J426" s="242"/>
      <c r="K426" s="241">
        <v>0</v>
      </c>
      <c r="L426" s="241">
        <v>0</v>
      </c>
      <c r="M426" s="236">
        <f>+K426-L426</f>
        <v>0</v>
      </c>
      <c r="N426" s="237">
        <f>IF(L426&lt;0,IF(M426=0,0,IF(OR(L426=0,K426=0),"N.M.",IF(ABS(M426/L426)&gt;=10,"N.M.",M426/(-L426)))),IF(M426=0,0,IF(OR(L426=0,K426=0),"N.M.",IF(ABS(M426/L426)&gt;=10,"N.M.",M426/L426))))</f>
        <v>0</v>
      </c>
      <c r="O426" s="148"/>
      <c r="P426" s="243"/>
      <c r="Q426" s="241">
        <v>0</v>
      </c>
      <c r="R426" s="241">
        <v>0</v>
      </c>
      <c r="S426" s="236">
        <f>+Q426-R426</f>
        <v>0</v>
      </c>
      <c r="T426" s="237">
        <f>IF(R426&lt;0,IF(S426=0,0,IF(OR(R426=0,Q426=0),"N.M.",IF(ABS(S426/R426)&gt;=10,"N.M.",S426/(-R426)))),IF(S426=0,0,IF(OR(R426=0,Q426=0),"N.M.",IF(ABS(S426/R426)&gt;=10,"N.M.",S426/R426))))</f>
        <v>0</v>
      </c>
      <c r="U426" s="243" t="s">
        <v>1098</v>
      </c>
      <c r="V426" s="241">
        <v>0</v>
      </c>
      <c r="W426" s="241">
        <v>0</v>
      </c>
      <c r="X426" s="236">
        <f>+V426-W426</f>
        <v>0</v>
      </c>
      <c r="Y426" s="232">
        <f>IF(W426&lt;0,IF(X426=0,0,IF(OR(W426=0,V426=0),"N.M.",IF(ABS(X426/W426)&gt;=10,"N.M.",X426/(-W426)))),IF(X426=0,0,IF(OR(W426=0,V426=0),"N.M.",IF(ABS(X426/W426)&gt;=10,"N.M.",X426/W426))))</f>
        <v>0</v>
      </c>
      <c r="AA426" s="241">
        <v>0</v>
      </c>
      <c r="AB426" s="245"/>
      <c r="AC426" s="241">
        <v>0</v>
      </c>
      <c r="AD426" s="241">
        <v>0</v>
      </c>
      <c r="AE426" s="241">
        <v>0</v>
      </c>
      <c r="AF426" s="241">
        <v>0</v>
      </c>
      <c r="AG426" s="241">
        <v>0</v>
      </c>
      <c r="AH426" s="241">
        <v>0</v>
      </c>
      <c r="AI426" s="241">
        <v>0</v>
      </c>
      <c r="AJ426" s="241">
        <v>0</v>
      </c>
      <c r="AK426" s="241">
        <v>0</v>
      </c>
      <c r="AL426" s="241">
        <v>0</v>
      </c>
      <c r="AM426" s="241">
        <v>0</v>
      </c>
      <c r="AN426" s="241">
        <v>0</v>
      </c>
      <c r="AO426" s="245"/>
      <c r="AP426" s="241">
        <v>0</v>
      </c>
      <c r="AQ426" s="241">
        <v>0</v>
      </c>
      <c r="AR426" s="241">
        <v>0</v>
      </c>
      <c r="AS426" s="241">
        <v>0</v>
      </c>
      <c r="AT426" s="241">
        <v>0</v>
      </c>
      <c r="AU426" s="241">
        <v>0</v>
      </c>
      <c r="AV426" s="241">
        <v>0</v>
      </c>
      <c r="AW426" s="241">
        <v>0</v>
      </c>
      <c r="AX426" s="241">
        <v>0</v>
      </c>
      <c r="AY426" s="241">
        <v>0</v>
      </c>
      <c r="AZ426" s="241">
        <v>0</v>
      </c>
      <c r="BA426" s="241">
        <v>0</v>
      </c>
    </row>
    <row r="427" spans="1:53" s="244" customFormat="1" ht="0.75" customHeight="1" outlineLevel="2" x14ac:dyDescent="0.25">
      <c r="A427" s="211"/>
      <c r="B427" s="212"/>
      <c r="C427" s="238"/>
      <c r="D427" s="246"/>
      <c r="E427" s="246"/>
      <c r="F427" s="241"/>
      <c r="G427" s="241"/>
      <c r="H427" s="236"/>
      <c r="I427" s="237"/>
      <c r="J427" s="242"/>
      <c r="K427" s="241"/>
      <c r="L427" s="241"/>
      <c r="M427" s="236"/>
      <c r="N427" s="237"/>
      <c r="O427" s="148"/>
      <c r="P427" s="243"/>
      <c r="Q427" s="241"/>
      <c r="R427" s="241"/>
      <c r="S427" s="236"/>
      <c r="T427" s="237"/>
      <c r="U427" s="243"/>
      <c r="V427" s="241"/>
      <c r="W427" s="241"/>
      <c r="X427" s="236"/>
      <c r="Y427" s="232"/>
      <c r="AA427" s="241"/>
      <c r="AB427" s="245"/>
      <c r="AC427" s="241"/>
      <c r="AD427" s="241"/>
      <c r="AE427" s="241"/>
      <c r="AF427" s="241"/>
      <c r="AG427" s="241"/>
      <c r="AH427" s="241"/>
      <c r="AI427" s="241"/>
      <c r="AJ427" s="241"/>
      <c r="AK427" s="241"/>
      <c r="AL427" s="241"/>
      <c r="AM427" s="241"/>
      <c r="AN427" s="241"/>
      <c r="AO427" s="245"/>
      <c r="AP427" s="241"/>
      <c r="AQ427" s="241"/>
      <c r="AR427" s="241"/>
      <c r="AS427" s="241"/>
      <c r="AT427" s="241"/>
      <c r="AU427" s="241"/>
      <c r="AV427" s="241"/>
      <c r="AW427" s="241"/>
      <c r="AX427" s="241"/>
      <c r="AY427" s="241"/>
      <c r="AZ427" s="241"/>
      <c r="BA427" s="241"/>
    </row>
    <row r="428" spans="1:53" s="244" customFormat="1" x14ac:dyDescent="0.25">
      <c r="A428" s="211"/>
      <c r="B428" s="212" t="s">
        <v>1262</v>
      </c>
      <c r="C428" s="238" t="s">
        <v>1263</v>
      </c>
      <c r="D428" s="246"/>
      <c r="E428" s="246"/>
      <c r="F428" s="241"/>
      <c r="G428" s="241"/>
      <c r="H428" s="236">
        <f>+F428-G428</f>
        <v>0</v>
      </c>
      <c r="I428" s="237">
        <f>IF(G428&lt;0,IF(H428=0,0,IF(OR(G428=0,F428=0),"N.M.",IF(ABS(H428/G428)&gt;=10,"N.M.",H428/(-G428)))),IF(H428=0,0,IF(OR(G428=0,F428=0),"N.M.",IF(ABS(H428/G428)&gt;=10,"N.M.",H428/G428))))</f>
        <v>0</v>
      </c>
      <c r="J428" s="242"/>
      <c r="K428" s="241"/>
      <c r="L428" s="241"/>
      <c r="M428" s="236">
        <f>+K428-L428</f>
        <v>0</v>
      </c>
      <c r="N428" s="237">
        <f>IF(L428&lt;0,IF(M428=0,0,IF(OR(L428=0,K428=0),"N.M.",IF(ABS(M428/L428)&gt;=10,"N.M.",M428/(-L428)))),IF(M428=0,0,IF(OR(L428=0,K428=0),"N.M.",IF(ABS(M428/L428)&gt;=10,"N.M.",M428/L428))))</f>
        <v>0</v>
      </c>
      <c r="O428" s="148"/>
      <c r="P428" s="243"/>
      <c r="Q428" s="241"/>
      <c r="R428" s="241"/>
      <c r="S428" s="236">
        <f>+Q428-R428</f>
        <v>0</v>
      </c>
      <c r="T428" s="237">
        <f>IF(R428&lt;0,IF(S428=0,0,IF(OR(R428=0,Q428=0),"N.M.",IF(ABS(S428/R428)&gt;=10,"N.M.",S428/(-R428)))),IF(S428=0,0,IF(OR(R428=0,Q428=0),"N.M.",IF(ABS(S428/R428)&gt;=10,"N.M.",S428/R428))))</f>
        <v>0</v>
      </c>
      <c r="U428" s="243" t="s">
        <v>1098</v>
      </c>
      <c r="V428" s="241"/>
      <c r="W428" s="241"/>
      <c r="X428" s="236">
        <f>+V428-W428</f>
        <v>0</v>
      </c>
      <c r="Y428" s="232">
        <f>IF(W428&lt;0,IF(X428=0,0,IF(OR(W428=0,V428=0),"N.M.",IF(ABS(X428/W428)&gt;=10,"N.M.",X428/(-W428)))),IF(X428=0,0,IF(OR(W428=0,V428=0),"N.M.",IF(ABS(X428/W428)&gt;=10,"N.M.",X428/W428))))</f>
        <v>0</v>
      </c>
      <c r="AA428" s="241"/>
      <c r="AB428" s="245"/>
      <c r="AC428" s="241"/>
      <c r="AD428" s="241"/>
      <c r="AE428" s="241"/>
      <c r="AF428" s="241"/>
      <c r="AG428" s="241"/>
      <c r="AH428" s="241"/>
      <c r="AI428" s="241"/>
      <c r="AJ428" s="241"/>
      <c r="AK428" s="241"/>
      <c r="AL428" s="241"/>
      <c r="AM428" s="241"/>
      <c r="AN428" s="241"/>
      <c r="AO428" s="245"/>
      <c r="AP428" s="241"/>
      <c r="AQ428" s="241"/>
      <c r="AR428" s="241"/>
      <c r="AS428" s="241"/>
      <c r="AT428" s="241"/>
      <c r="AU428" s="241"/>
      <c r="AV428" s="241"/>
      <c r="AW428" s="241"/>
      <c r="AX428" s="241"/>
      <c r="AY428" s="241"/>
      <c r="AZ428" s="241"/>
      <c r="BA428" s="241"/>
    </row>
    <row r="429" spans="1:53" s="244" customFormat="1" ht="0.75" customHeight="1" outlineLevel="2" x14ac:dyDescent="0.25">
      <c r="A429" s="211"/>
      <c r="B429" s="212"/>
      <c r="C429" s="238"/>
      <c r="D429" s="246"/>
      <c r="E429" s="246"/>
      <c r="F429" s="241"/>
      <c r="G429" s="241"/>
      <c r="H429" s="236"/>
      <c r="I429" s="237"/>
      <c r="J429" s="242"/>
      <c r="K429" s="241"/>
      <c r="L429" s="241"/>
      <c r="M429" s="236"/>
      <c r="N429" s="237"/>
      <c r="O429" s="148"/>
      <c r="P429" s="243"/>
      <c r="Q429" s="241"/>
      <c r="R429" s="241"/>
      <c r="S429" s="236"/>
      <c r="T429" s="237"/>
      <c r="U429" s="243"/>
      <c r="V429" s="241"/>
      <c r="W429" s="241"/>
      <c r="X429" s="236"/>
      <c r="Y429" s="232"/>
      <c r="AA429" s="241"/>
      <c r="AB429" s="245"/>
      <c r="AC429" s="241"/>
      <c r="AD429" s="241"/>
      <c r="AE429" s="241"/>
      <c r="AF429" s="241"/>
      <c r="AG429" s="241"/>
      <c r="AH429" s="241"/>
      <c r="AI429" s="241"/>
      <c r="AJ429" s="241"/>
      <c r="AK429" s="241"/>
      <c r="AL429" s="241"/>
      <c r="AM429" s="241"/>
      <c r="AN429" s="241"/>
      <c r="AO429" s="245"/>
      <c r="AP429" s="241"/>
      <c r="AQ429" s="241"/>
      <c r="AR429" s="241"/>
      <c r="AS429" s="241"/>
      <c r="AT429" s="241"/>
      <c r="AU429" s="241"/>
      <c r="AV429" s="241"/>
      <c r="AW429" s="241"/>
      <c r="AX429" s="241"/>
      <c r="AY429" s="241"/>
      <c r="AZ429" s="241"/>
      <c r="BA429" s="241"/>
    </row>
    <row r="430" spans="1:53" s="138" customFormat="1" outlineLevel="2" x14ac:dyDescent="0.25">
      <c r="A430" s="138" t="s">
        <v>1264</v>
      </c>
      <c r="B430" s="139" t="s">
        <v>1265</v>
      </c>
      <c r="C430" s="140" t="s">
        <v>1266</v>
      </c>
      <c r="D430" s="141"/>
      <c r="E430" s="142"/>
      <c r="F430" s="143">
        <v>11436.87</v>
      </c>
      <c r="G430" s="143">
        <v>11436.87</v>
      </c>
      <c r="H430" s="144">
        <f>+F430-G430</f>
        <v>0</v>
      </c>
      <c r="I430" s="145">
        <f>IF(G430&lt;0,IF(H430=0,0,IF(OR(G430=0,F430=0),"N.M.",IF(ABS(H430/G430)&gt;=10,"N.M.",H430/(-G430)))),IF(H430=0,0,IF(OR(G430=0,F430=0),"N.M.",IF(ABS(H430/G430)&gt;=10,"N.M.",H430/G430))))</f>
        <v>0</v>
      </c>
      <c r="J430" s="146"/>
      <c r="K430" s="143">
        <v>22873.74</v>
      </c>
      <c r="L430" s="143">
        <v>22873.74</v>
      </c>
      <c r="M430" s="144">
        <f>+K430-L430</f>
        <v>0</v>
      </c>
      <c r="N430" s="145">
        <f>IF(L430&lt;0,IF(M430=0,0,IF(OR(L430=0,K430=0),"N.M.",IF(ABS(M430/L430)&gt;=10,"N.M.",M430/(-L430)))),IF(M430=0,0,IF(OR(L430=0,K430=0),"N.M.",IF(ABS(M430/L430)&gt;=10,"N.M.",M430/L430))))</f>
        <v>0</v>
      </c>
      <c r="O430" s="147"/>
      <c r="P430" s="146"/>
      <c r="Q430" s="143">
        <v>34310.61</v>
      </c>
      <c r="R430" s="143">
        <v>34310.61</v>
      </c>
      <c r="S430" s="144">
        <f>+Q430-R430</f>
        <v>0</v>
      </c>
      <c r="T430" s="145">
        <f>IF(R430&lt;0,IF(S430=0,0,IF(OR(R430=0,Q430=0),"N.M.",IF(ABS(S430/R430)&gt;=10,"N.M.",S430/(-R430)))),IF(S430=0,0,IF(OR(R430=0,Q430=0),"N.M.",IF(ABS(S430/R430)&gt;=10,"N.M.",S430/R430))))</f>
        <v>0</v>
      </c>
      <c r="U430" s="146"/>
      <c r="V430" s="143">
        <v>137242.44</v>
      </c>
      <c r="W430" s="143">
        <v>137242.44</v>
      </c>
      <c r="X430" s="144">
        <f>+V430-W430</f>
        <v>0</v>
      </c>
      <c r="Y430" s="145">
        <f>IF(W430&lt;0,IF(X430=0,0,IF(OR(W430=0,V430=0),"N.M.",IF(ABS(X430/W430)&gt;=10,"N.M.",X430/(-W430)))),IF(X430=0,0,IF(OR(W430=0,V430=0),"N.M.",IF(ABS(X430/W430)&gt;=10,"N.M.",X430/W430))))</f>
        <v>0</v>
      </c>
      <c r="Z430" s="148"/>
      <c r="AA430" s="149">
        <v>11436.87</v>
      </c>
      <c r="AB430" s="150"/>
      <c r="AC430" s="117">
        <v>11436.87</v>
      </c>
      <c r="AD430" s="117">
        <v>11436.87</v>
      </c>
      <c r="AE430" s="117">
        <v>11436.87</v>
      </c>
      <c r="AF430" s="117">
        <v>11436.87</v>
      </c>
      <c r="AG430" s="117">
        <v>11436.87</v>
      </c>
      <c r="AH430" s="117">
        <v>11436.87</v>
      </c>
      <c r="AI430" s="117">
        <v>11436.87</v>
      </c>
      <c r="AJ430" s="117">
        <v>11436.87</v>
      </c>
      <c r="AK430" s="117">
        <v>11436.87</v>
      </c>
      <c r="AL430" s="117">
        <v>11436.87</v>
      </c>
      <c r="AM430" s="117">
        <v>11436.87</v>
      </c>
      <c r="AN430" s="117">
        <v>11436.87</v>
      </c>
      <c r="AO430" s="150"/>
      <c r="AP430" s="117">
        <v>11436.87</v>
      </c>
      <c r="AQ430" s="117">
        <v>11436.87</v>
      </c>
      <c r="AR430" s="117">
        <v>0</v>
      </c>
      <c r="AS430" s="117">
        <v>0</v>
      </c>
      <c r="AT430" s="117">
        <v>0</v>
      </c>
      <c r="AU430" s="117">
        <v>0</v>
      </c>
      <c r="AV430" s="117">
        <v>0</v>
      </c>
      <c r="AW430" s="117">
        <v>0</v>
      </c>
      <c r="AX430" s="117">
        <v>0</v>
      </c>
      <c r="AY430" s="117">
        <v>0</v>
      </c>
      <c r="AZ430" s="117">
        <v>0</v>
      </c>
      <c r="BA430" s="117">
        <v>0</v>
      </c>
    </row>
    <row r="431" spans="1:53" s="138" customFormat="1" outlineLevel="2" x14ac:dyDescent="0.25">
      <c r="A431" s="138" t="s">
        <v>1267</v>
      </c>
      <c r="B431" s="139" t="s">
        <v>1268</v>
      </c>
      <c r="C431" s="140" t="s">
        <v>1269</v>
      </c>
      <c r="D431" s="141"/>
      <c r="E431" s="142"/>
      <c r="F431" s="143">
        <v>171804.75</v>
      </c>
      <c r="G431" s="143">
        <v>413592.02</v>
      </c>
      <c r="H431" s="144">
        <f>+F431-G431</f>
        <v>-241787.27000000002</v>
      </c>
      <c r="I431" s="145">
        <f>IF(G431&lt;0,IF(H431=0,0,IF(OR(G431=0,F431=0),"N.M.",IF(ABS(H431/G431)&gt;=10,"N.M.",H431/(-G431)))),IF(H431=0,0,IF(OR(G431=0,F431=0),"N.M.",IF(ABS(H431/G431)&gt;=10,"N.M.",H431/G431))))</f>
        <v>-0.58460332479335553</v>
      </c>
      <c r="J431" s="146"/>
      <c r="K431" s="143">
        <v>590802.61</v>
      </c>
      <c r="L431" s="143">
        <v>907121.67</v>
      </c>
      <c r="M431" s="144">
        <f>+K431-L431</f>
        <v>-316319.06000000006</v>
      </c>
      <c r="N431" s="145">
        <f>IF(L431&lt;0,IF(M431=0,0,IF(OR(L431=0,K431=0),"N.M.",IF(ABS(M431/L431)&gt;=10,"N.M.",M431/(-L431)))),IF(M431=0,0,IF(OR(L431=0,K431=0),"N.M.",IF(ABS(M431/L431)&gt;=10,"N.M.",M431/L431))))</f>
        <v>-0.34870632072983115</v>
      </c>
      <c r="O431" s="147"/>
      <c r="P431" s="146"/>
      <c r="Q431" s="143">
        <v>1113643.54</v>
      </c>
      <c r="R431" s="143">
        <v>1083421.01</v>
      </c>
      <c r="S431" s="144">
        <f>+Q431-R431</f>
        <v>30222.530000000028</v>
      </c>
      <c r="T431" s="145">
        <f>IF(R431&lt;0,IF(S431=0,0,IF(OR(R431=0,Q431=0),"N.M.",IF(ABS(S431/R431)&gt;=10,"N.M.",S431/(-R431)))),IF(S431=0,0,IF(OR(R431=0,Q431=0),"N.M.",IF(ABS(S431/R431)&gt;=10,"N.M.",S431/R431))))</f>
        <v>2.7895462355857423E-2</v>
      </c>
      <c r="U431" s="146"/>
      <c r="V431" s="143">
        <v>2114063.6</v>
      </c>
      <c r="W431" s="143">
        <v>1560662.58</v>
      </c>
      <c r="X431" s="144">
        <f>+V431-W431</f>
        <v>553401.02</v>
      </c>
      <c r="Y431" s="145">
        <f>IF(W431&lt;0,IF(X431=0,0,IF(OR(W431=0,V431=0),"N.M.",IF(ABS(X431/W431)&gt;=10,"N.M.",X431/(-W431)))),IF(X431=0,0,IF(OR(W431=0,V431=0),"N.M.",IF(ABS(X431/W431)&gt;=10,"N.M.",X431/W431))))</f>
        <v>0.35459363676163747</v>
      </c>
      <c r="Z431" s="148"/>
      <c r="AA431" s="149">
        <v>176299.34</v>
      </c>
      <c r="AB431" s="150"/>
      <c r="AC431" s="117">
        <v>493529.65</v>
      </c>
      <c r="AD431" s="117">
        <v>413592.02</v>
      </c>
      <c r="AE431" s="117">
        <v>110784.40000000001</v>
      </c>
      <c r="AF431" s="117">
        <v>322321.24</v>
      </c>
      <c r="AG431" s="117">
        <v>-29165.56</v>
      </c>
      <c r="AH431" s="117">
        <v>20203.260000000002</v>
      </c>
      <c r="AI431" s="117">
        <v>211087.7</v>
      </c>
      <c r="AJ431" s="117">
        <v>15476.66</v>
      </c>
      <c r="AK431" s="117">
        <v>18025.55</v>
      </c>
      <c r="AL431" s="117">
        <v>77491.83</v>
      </c>
      <c r="AM431" s="117">
        <v>254194.98</v>
      </c>
      <c r="AN431" s="117">
        <v>522840.93</v>
      </c>
      <c r="AO431" s="150"/>
      <c r="AP431" s="117">
        <v>418997.86</v>
      </c>
      <c r="AQ431" s="117">
        <v>171804.75</v>
      </c>
      <c r="AR431" s="117">
        <v>0</v>
      </c>
      <c r="AS431" s="117">
        <v>0</v>
      </c>
      <c r="AT431" s="117">
        <v>0</v>
      </c>
      <c r="AU431" s="117">
        <v>0</v>
      </c>
      <c r="AV431" s="117">
        <v>0</v>
      </c>
      <c r="AW431" s="117">
        <v>0</v>
      </c>
      <c r="AX431" s="117">
        <v>0</v>
      </c>
      <c r="AY431" s="117">
        <v>0</v>
      </c>
      <c r="AZ431" s="117">
        <v>0</v>
      </c>
      <c r="BA431" s="117">
        <v>0</v>
      </c>
    </row>
    <row r="432" spans="1:53" s="244" customFormat="1" x14ac:dyDescent="0.25">
      <c r="A432" s="211" t="s">
        <v>1270</v>
      </c>
      <c r="B432" s="212" t="s">
        <v>1271</v>
      </c>
      <c r="C432" s="238" t="s">
        <v>1272</v>
      </c>
      <c r="D432" s="246"/>
      <c r="E432" s="246"/>
      <c r="F432" s="241">
        <v>183241.62</v>
      </c>
      <c r="G432" s="241">
        <v>425028.89</v>
      </c>
      <c r="H432" s="236">
        <f>+F432-G432</f>
        <v>-241787.27000000002</v>
      </c>
      <c r="I432" s="237">
        <f>IF(G432&lt;0,IF(H432=0,0,IF(OR(G432=0,F432=0),"N.M.",IF(ABS(H432/G432)&gt;=10,"N.M.",H432/(-G432)))),IF(H432=0,0,IF(OR(G432=0,F432=0),"N.M.",IF(ABS(H432/G432)&gt;=10,"N.M.",H432/G432))))</f>
        <v>-0.56887255358100486</v>
      </c>
      <c r="J432" s="242"/>
      <c r="K432" s="241">
        <v>613676.35</v>
      </c>
      <c r="L432" s="241">
        <v>929995.41</v>
      </c>
      <c r="M432" s="236">
        <f>+K432-L432</f>
        <v>-316319.06000000006</v>
      </c>
      <c r="N432" s="237">
        <f>IF(L432&lt;0,IF(M432=0,0,IF(OR(L432=0,K432=0),"N.M.",IF(ABS(M432/L432)&gt;=10,"N.M.",M432/(-L432)))),IF(M432=0,0,IF(OR(L432=0,K432=0),"N.M.",IF(ABS(M432/L432)&gt;=10,"N.M.",M432/L432))))</f>
        <v>-0.34012970021002581</v>
      </c>
      <c r="O432" s="148"/>
      <c r="P432" s="243"/>
      <c r="Q432" s="241">
        <v>1147954.1499999999</v>
      </c>
      <c r="R432" s="241">
        <v>1117731.6200000001</v>
      </c>
      <c r="S432" s="236">
        <f>+Q432-R432</f>
        <v>30222.529999999795</v>
      </c>
      <c r="T432" s="237">
        <f>IF(R432&lt;0,IF(S432=0,0,IF(OR(R432=0,Q432=0),"N.M.",IF(ABS(S432/R432)&gt;=10,"N.M.",S432/(-R432)))),IF(S432=0,0,IF(OR(R432=0,Q432=0),"N.M.",IF(ABS(S432/R432)&gt;=10,"N.M.",S432/R432))))</f>
        <v>2.703916526938711E-2</v>
      </c>
      <c r="U432" s="243"/>
      <c r="V432" s="241">
        <v>2251306.04</v>
      </c>
      <c r="W432" s="241">
        <v>1697905.02</v>
      </c>
      <c r="X432" s="236">
        <f>+V432-W432</f>
        <v>553401.02</v>
      </c>
      <c r="Y432" s="232">
        <f>IF(W432&lt;0,IF(X432=0,0,IF(OR(W432=0,V432=0),"N.M.",IF(ABS(X432/W432)&gt;=10,"N.M.",X432/(-W432)))),IF(X432=0,0,IF(OR(W432=0,V432=0),"N.M.",IF(ABS(X432/W432)&gt;=10,"N.M.",X432/W432))))</f>
        <v>0.32593167078332802</v>
      </c>
      <c r="AA432" s="241">
        <v>187736.21</v>
      </c>
      <c r="AB432" s="245"/>
      <c r="AC432" s="241">
        <v>504966.52</v>
      </c>
      <c r="AD432" s="241">
        <v>425028.89</v>
      </c>
      <c r="AE432" s="241">
        <v>122221.27</v>
      </c>
      <c r="AF432" s="241">
        <v>333758.11</v>
      </c>
      <c r="AG432" s="241">
        <v>-17728.690000000002</v>
      </c>
      <c r="AH432" s="241">
        <v>31640.130000000005</v>
      </c>
      <c r="AI432" s="241">
        <v>222524.57</v>
      </c>
      <c r="AJ432" s="241">
        <v>26913.53</v>
      </c>
      <c r="AK432" s="241">
        <v>29462.42</v>
      </c>
      <c r="AL432" s="241">
        <v>88928.7</v>
      </c>
      <c r="AM432" s="241">
        <v>265631.85000000003</v>
      </c>
      <c r="AN432" s="241">
        <v>534277.80000000005</v>
      </c>
      <c r="AO432" s="245"/>
      <c r="AP432" s="241">
        <v>430434.73</v>
      </c>
      <c r="AQ432" s="241">
        <v>183241.62</v>
      </c>
      <c r="AR432" s="241">
        <v>0</v>
      </c>
      <c r="AS432" s="241">
        <v>0</v>
      </c>
      <c r="AT432" s="241">
        <v>0</v>
      </c>
      <c r="AU432" s="241">
        <v>0</v>
      </c>
      <c r="AV432" s="241">
        <v>0</v>
      </c>
      <c r="AW432" s="241">
        <v>0</v>
      </c>
      <c r="AX432" s="241">
        <v>0</v>
      </c>
      <c r="AY432" s="241">
        <v>0</v>
      </c>
      <c r="AZ432" s="241">
        <v>0</v>
      </c>
      <c r="BA432" s="241">
        <v>0</v>
      </c>
    </row>
    <row r="433" spans="1:53" s="244" customFormat="1" ht="0.75" customHeight="1" outlineLevel="2" x14ac:dyDescent="0.25">
      <c r="A433" s="211"/>
      <c r="B433" s="212"/>
      <c r="C433" s="238"/>
      <c r="D433" s="246"/>
      <c r="E433" s="246"/>
      <c r="F433" s="241"/>
      <c r="G433" s="241"/>
      <c r="H433" s="236"/>
      <c r="I433" s="237"/>
      <c r="J433" s="242"/>
      <c r="K433" s="241"/>
      <c r="L433" s="241"/>
      <c r="M433" s="236"/>
      <c r="N433" s="237"/>
      <c r="O433" s="148"/>
      <c r="P433" s="243"/>
      <c r="Q433" s="241"/>
      <c r="R433" s="241"/>
      <c r="S433" s="236"/>
      <c r="T433" s="237"/>
      <c r="U433" s="243"/>
      <c r="V433" s="241"/>
      <c r="W433" s="241"/>
      <c r="X433" s="236"/>
      <c r="Y433" s="232"/>
      <c r="AA433" s="241"/>
      <c r="AB433" s="245"/>
      <c r="AC433" s="241"/>
      <c r="AD433" s="241"/>
      <c r="AE433" s="241"/>
      <c r="AF433" s="241"/>
      <c r="AG433" s="241"/>
      <c r="AH433" s="241"/>
      <c r="AI433" s="241"/>
      <c r="AJ433" s="241"/>
      <c r="AK433" s="241"/>
      <c r="AL433" s="241"/>
      <c r="AM433" s="241"/>
      <c r="AN433" s="241"/>
      <c r="AO433" s="245"/>
      <c r="AP433" s="241"/>
      <c r="AQ433" s="241"/>
      <c r="AR433" s="241"/>
      <c r="AS433" s="241"/>
      <c r="AT433" s="241"/>
      <c r="AU433" s="241"/>
      <c r="AV433" s="241"/>
      <c r="AW433" s="241"/>
      <c r="AX433" s="241"/>
      <c r="AY433" s="241"/>
      <c r="AZ433" s="241"/>
      <c r="BA433" s="241"/>
    </row>
    <row r="434" spans="1:53" s="244" customFormat="1" x14ac:dyDescent="0.25">
      <c r="A434" s="211" t="s">
        <v>1273</v>
      </c>
      <c r="B434" s="212" t="s">
        <v>1274</v>
      </c>
      <c r="C434" s="238" t="s">
        <v>1275</v>
      </c>
      <c r="D434" s="246"/>
      <c r="E434" s="246"/>
      <c r="F434" s="241">
        <v>0</v>
      </c>
      <c r="G434" s="241">
        <v>0</v>
      </c>
      <c r="H434" s="236">
        <f>+F434-G434</f>
        <v>0</v>
      </c>
      <c r="I434" s="237">
        <f>IF(G434&lt;0,IF(H434=0,0,IF(OR(G434=0,F434=0),"N.M.",IF(ABS(H434/G434)&gt;=10,"N.M.",H434/(-G434)))),IF(H434=0,0,IF(OR(G434=0,F434=0),"N.M.",IF(ABS(H434/G434)&gt;=10,"N.M.",H434/G434))))</f>
        <v>0</v>
      </c>
      <c r="J434" s="242"/>
      <c r="K434" s="241">
        <v>0</v>
      </c>
      <c r="L434" s="241">
        <v>0</v>
      </c>
      <c r="M434" s="236">
        <f>+K434-L434</f>
        <v>0</v>
      </c>
      <c r="N434" s="237">
        <f>IF(L434&lt;0,IF(M434=0,0,IF(OR(L434=0,K434=0),"N.M.",IF(ABS(M434/L434)&gt;=10,"N.M.",M434/(-L434)))),IF(M434=0,0,IF(OR(L434=0,K434=0),"N.M.",IF(ABS(M434/L434)&gt;=10,"N.M.",M434/L434))))</f>
        <v>0</v>
      </c>
      <c r="O434" s="148"/>
      <c r="P434" s="243"/>
      <c r="Q434" s="241">
        <v>0</v>
      </c>
      <c r="R434" s="241">
        <v>0</v>
      </c>
      <c r="S434" s="236">
        <f>+Q434-R434</f>
        <v>0</v>
      </c>
      <c r="T434" s="237">
        <f>IF(R434&lt;0,IF(S434=0,0,IF(OR(R434=0,Q434=0),"N.M.",IF(ABS(S434/R434)&gt;=10,"N.M.",S434/(-R434)))),IF(S434=0,0,IF(OR(R434=0,Q434=0),"N.M.",IF(ABS(S434/R434)&gt;=10,"N.M.",S434/R434))))</f>
        <v>0</v>
      </c>
      <c r="U434" s="243"/>
      <c r="V434" s="241">
        <v>0</v>
      </c>
      <c r="W434" s="241">
        <v>0</v>
      </c>
      <c r="X434" s="236">
        <f>+V434-W434</f>
        <v>0</v>
      </c>
      <c r="Y434" s="232">
        <f>IF(W434&lt;0,IF(X434=0,0,IF(OR(W434=0,V434=0),"N.M.",IF(ABS(X434/W434)&gt;=10,"N.M.",X434/(-W434)))),IF(X434=0,0,IF(OR(W434=0,V434=0),"N.M.",IF(ABS(X434/W434)&gt;=10,"N.M.",X434/W434))))</f>
        <v>0</v>
      </c>
      <c r="AA434" s="241">
        <v>0</v>
      </c>
      <c r="AB434" s="245"/>
      <c r="AC434" s="241">
        <v>0</v>
      </c>
      <c r="AD434" s="241">
        <v>0</v>
      </c>
      <c r="AE434" s="241">
        <v>0</v>
      </c>
      <c r="AF434" s="241">
        <v>0</v>
      </c>
      <c r="AG434" s="241">
        <v>0</v>
      </c>
      <c r="AH434" s="241">
        <v>0</v>
      </c>
      <c r="AI434" s="241">
        <v>0</v>
      </c>
      <c r="AJ434" s="241">
        <v>0</v>
      </c>
      <c r="AK434" s="241">
        <v>0</v>
      </c>
      <c r="AL434" s="241">
        <v>0</v>
      </c>
      <c r="AM434" s="241">
        <v>0</v>
      </c>
      <c r="AN434" s="241">
        <v>0</v>
      </c>
      <c r="AO434" s="245"/>
      <c r="AP434" s="241">
        <v>0</v>
      </c>
      <c r="AQ434" s="241">
        <v>0</v>
      </c>
      <c r="AR434" s="241">
        <v>0</v>
      </c>
      <c r="AS434" s="241">
        <v>0</v>
      </c>
      <c r="AT434" s="241">
        <v>0</v>
      </c>
      <c r="AU434" s="241">
        <v>0</v>
      </c>
      <c r="AV434" s="241">
        <v>0</v>
      </c>
      <c r="AW434" s="241">
        <v>0</v>
      </c>
      <c r="AX434" s="241">
        <v>0</v>
      </c>
      <c r="AY434" s="241">
        <v>0</v>
      </c>
      <c r="AZ434" s="241">
        <v>0</v>
      </c>
      <c r="BA434" s="241">
        <v>0</v>
      </c>
    </row>
    <row r="435" spans="1:53" s="244" customFormat="1" ht="0.75" customHeight="1" outlineLevel="2" x14ac:dyDescent="0.25">
      <c r="A435" s="211"/>
      <c r="B435" s="212"/>
      <c r="C435" s="238"/>
      <c r="D435" s="246"/>
      <c r="E435" s="246"/>
      <c r="F435" s="241"/>
      <c r="G435" s="241"/>
      <c r="H435" s="236"/>
      <c r="I435" s="237"/>
      <c r="J435" s="242"/>
      <c r="K435" s="241"/>
      <c r="L435" s="241"/>
      <c r="M435" s="236"/>
      <c r="N435" s="237"/>
      <c r="O435" s="148"/>
      <c r="P435" s="243"/>
      <c r="Q435" s="241"/>
      <c r="R435" s="241"/>
      <c r="S435" s="236"/>
      <c r="T435" s="237"/>
      <c r="U435" s="243"/>
      <c r="V435" s="241"/>
      <c r="W435" s="241"/>
      <c r="X435" s="236"/>
      <c r="Y435" s="232"/>
      <c r="AA435" s="241"/>
      <c r="AB435" s="245"/>
      <c r="AC435" s="241"/>
      <c r="AD435" s="241"/>
      <c r="AE435" s="241"/>
      <c r="AF435" s="241"/>
      <c r="AG435" s="241"/>
      <c r="AH435" s="241"/>
      <c r="AI435" s="241"/>
      <c r="AJ435" s="241"/>
      <c r="AK435" s="241"/>
      <c r="AL435" s="241"/>
      <c r="AM435" s="241"/>
      <c r="AN435" s="241"/>
      <c r="AO435" s="245"/>
      <c r="AP435" s="241"/>
      <c r="AQ435" s="241"/>
      <c r="AR435" s="241"/>
      <c r="AS435" s="241"/>
      <c r="AT435" s="241"/>
      <c r="AU435" s="241"/>
      <c r="AV435" s="241"/>
      <c r="AW435" s="241"/>
      <c r="AX435" s="241"/>
      <c r="AY435" s="241"/>
      <c r="AZ435" s="241"/>
      <c r="BA435" s="241"/>
    </row>
    <row r="436" spans="1:53" s="138" customFormat="1" outlineLevel="2" x14ac:dyDescent="0.25">
      <c r="A436" s="138" t="s">
        <v>1276</v>
      </c>
      <c r="B436" s="139" t="s">
        <v>1277</v>
      </c>
      <c r="C436" s="140" t="s">
        <v>1278</v>
      </c>
      <c r="D436" s="141"/>
      <c r="E436" s="142"/>
      <c r="F436" s="143">
        <v>254333.61000000002</v>
      </c>
      <c r="G436" s="143">
        <v>251990.05000000002</v>
      </c>
      <c r="H436" s="144">
        <f t="shared" ref="H436:H481" si="120">+F436-G436</f>
        <v>2343.5599999999977</v>
      </c>
      <c r="I436" s="145">
        <f t="shared" ref="I436:I481" si="121">IF(G436&lt;0,IF(H436=0,0,IF(OR(G436=0,F436=0),"N.M.",IF(ABS(H436/G436)&gt;=10,"N.M.",H436/(-G436)))),IF(H436=0,0,IF(OR(G436=0,F436=0),"N.M.",IF(ABS(H436/G436)&gt;=10,"N.M.",H436/G436))))</f>
        <v>9.3002084804538806E-3</v>
      </c>
      <c r="J436" s="146"/>
      <c r="K436" s="143">
        <v>500093.77</v>
      </c>
      <c r="L436" s="143">
        <v>529084.94000000006</v>
      </c>
      <c r="M436" s="144">
        <f t="shared" ref="M436:M481" si="122">+K436-L436</f>
        <v>-28991.170000000042</v>
      </c>
      <c r="N436" s="145">
        <f t="shared" ref="N436:N481" si="123">IF(L436&lt;0,IF(M436=0,0,IF(OR(L436=0,K436=0),"N.M.",IF(ABS(M436/L436)&gt;=10,"N.M.",M436/(-L436)))),IF(M436=0,0,IF(OR(L436=0,K436=0),"N.M.",IF(ABS(M436/L436)&gt;=10,"N.M.",M436/L436))))</f>
        <v>-5.4794925744815259E-2</v>
      </c>
      <c r="O436" s="147"/>
      <c r="P436" s="146"/>
      <c r="Q436" s="143">
        <v>891687.83000000007</v>
      </c>
      <c r="R436" s="143">
        <v>766694.58000000007</v>
      </c>
      <c r="S436" s="144">
        <f t="shared" ref="S436:S481" si="124">+Q436-R436</f>
        <v>124993.25</v>
      </c>
      <c r="T436" s="145">
        <f t="shared" ref="T436:T481" si="125">IF(R436&lt;0,IF(S436=0,0,IF(OR(R436=0,Q436=0),"N.M.",IF(ABS(S436/R436)&gt;=10,"N.M.",S436/(-R436)))),IF(S436=0,0,IF(OR(R436=0,Q436=0),"N.M.",IF(ABS(S436/R436)&gt;=10,"N.M.",S436/R436))))</f>
        <v>0.16302873824932998</v>
      </c>
      <c r="U436" s="146"/>
      <c r="V436" s="143">
        <v>3115922.8870000001</v>
      </c>
      <c r="W436" s="143">
        <v>3320038.7039999999</v>
      </c>
      <c r="X436" s="144">
        <f t="shared" ref="X436:X481" si="126">+V436-W436</f>
        <v>-204115.81699999981</v>
      </c>
      <c r="Y436" s="145">
        <f t="shared" ref="Y436:Y481" si="127">IF(W436&lt;0,IF(X436=0,0,IF(OR(W436=0,V436=0),"N.M.",IF(ABS(X436/W436)&gt;=10,"N.M.",X436/(-W436)))),IF(X436=0,0,IF(OR(W436=0,V436=0),"N.M.",IF(ABS(X436/W436)&gt;=10,"N.M.",X436/W436))))</f>
        <v>-6.1479951048185072E-2</v>
      </c>
      <c r="Z436" s="148"/>
      <c r="AA436" s="149">
        <v>237609.64</v>
      </c>
      <c r="AB436" s="150"/>
      <c r="AC436" s="117">
        <v>277094.89</v>
      </c>
      <c r="AD436" s="117">
        <v>251990.05000000002</v>
      </c>
      <c r="AE436" s="117">
        <v>248580.807</v>
      </c>
      <c r="AF436" s="117">
        <v>225009.18</v>
      </c>
      <c r="AG436" s="117">
        <v>254743.1</v>
      </c>
      <c r="AH436" s="117">
        <v>263271.72000000003</v>
      </c>
      <c r="AI436" s="117">
        <v>261786.78</v>
      </c>
      <c r="AJ436" s="117">
        <v>265901.2</v>
      </c>
      <c r="AK436" s="117">
        <v>237202.12</v>
      </c>
      <c r="AL436" s="117">
        <v>255205.67</v>
      </c>
      <c r="AM436" s="117">
        <v>212534.48</v>
      </c>
      <c r="AN436" s="117">
        <v>391594.06</v>
      </c>
      <c r="AO436" s="150"/>
      <c r="AP436" s="117">
        <v>245760.16</v>
      </c>
      <c r="AQ436" s="117">
        <v>254333.61000000002</v>
      </c>
      <c r="AR436" s="117">
        <v>467692.79000000004</v>
      </c>
      <c r="AS436" s="117">
        <v>0</v>
      </c>
      <c r="AT436" s="117">
        <v>0</v>
      </c>
      <c r="AU436" s="117">
        <v>0</v>
      </c>
      <c r="AV436" s="117">
        <v>0</v>
      </c>
      <c r="AW436" s="117">
        <v>0</v>
      </c>
      <c r="AX436" s="117">
        <v>0</v>
      </c>
      <c r="AY436" s="117">
        <v>0</v>
      </c>
      <c r="AZ436" s="117">
        <v>0</v>
      </c>
      <c r="BA436" s="117">
        <v>0</v>
      </c>
    </row>
    <row r="437" spans="1:53" s="138" customFormat="1" outlineLevel="2" x14ac:dyDescent="0.25">
      <c r="A437" s="138" t="s">
        <v>1279</v>
      </c>
      <c r="B437" s="139" t="s">
        <v>1280</v>
      </c>
      <c r="C437" s="140" t="s">
        <v>1281</v>
      </c>
      <c r="D437" s="141"/>
      <c r="E437" s="142"/>
      <c r="F437" s="143">
        <v>-265.05</v>
      </c>
      <c r="G437" s="143">
        <v>-31.900000000000002</v>
      </c>
      <c r="H437" s="144">
        <f t="shared" si="120"/>
        <v>-233.15</v>
      </c>
      <c r="I437" s="145">
        <f t="shared" si="121"/>
        <v>-7.3087774294670842</v>
      </c>
      <c r="J437" s="146"/>
      <c r="K437" s="143">
        <v>6796.55</v>
      </c>
      <c r="L437" s="143">
        <v>8301.5300000000007</v>
      </c>
      <c r="M437" s="144">
        <f t="shared" si="122"/>
        <v>-1504.9800000000005</v>
      </c>
      <c r="N437" s="145">
        <f t="shared" si="123"/>
        <v>-0.1812894731453118</v>
      </c>
      <c r="O437" s="147"/>
      <c r="P437" s="146"/>
      <c r="Q437" s="143">
        <v>18283.04</v>
      </c>
      <c r="R437" s="143">
        <v>18272.93</v>
      </c>
      <c r="S437" s="144">
        <f t="shared" si="124"/>
        <v>10.110000000000582</v>
      </c>
      <c r="T437" s="145">
        <f t="shared" si="125"/>
        <v>5.532774437378451E-4</v>
      </c>
      <c r="U437" s="146"/>
      <c r="V437" s="143">
        <v>19368.939999999999</v>
      </c>
      <c r="W437" s="143">
        <v>19330.760000000002</v>
      </c>
      <c r="X437" s="144">
        <f t="shared" si="126"/>
        <v>38.179999999996653</v>
      </c>
      <c r="Y437" s="145">
        <f t="shared" si="127"/>
        <v>1.9750904775599431E-3</v>
      </c>
      <c r="Z437" s="148"/>
      <c r="AA437" s="149">
        <v>9971.4</v>
      </c>
      <c r="AB437" s="150"/>
      <c r="AC437" s="117">
        <v>8333.43</v>
      </c>
      <c r="AD437" s="117">
        <v>-31.900000000000002</v>
      </c>
      <c r="AE437" s="117">
        <v>188.69</v>
      </c>
      <c r="AF437" s="117">
        <v>27.830000000000002</v>
      </c>
      <c r="AG437" s="117">
        <v>143.64000000000001</v>
      </c>
      <c r="AH437" s="117">
        <v>183.56</v>
      </c>
      <c r="AI437" s="117">
        <v>69.91</v>
      </c>
      <c r="AJ437" s="117">
        <v>213.13</v>
      </c>
      <c r="AK437" s="117">
        <v>83.88</v>
      </c>
      <c r="AL437" s="117">
        <v>39.75</v>
      </c>
      <c r="AM437" s="117">
        <v>135.51</v>
      </c>
      <c r="AN437" s="117">
        <v>11486.49</v>
      </c>
      <c r="AO437" s="150"/>
      <c r="AP437" s="117">
        <v>7061.6</v>
      </c>
      <c r="AQ437" s="117">
        <v>-265.05</v>
      </c>
      <c r="AR437" s="117">
        <v>334.11</v>
      </c>
      <c r="AS437" s="117">
        <v>0</v>
      </c>
      <c r="AT437" s="117">
        <v>0</v>
      </c>
      <c r="AU437" s="117">
        <v>0</v>
      </c>
      <c r="AV437" s="117">
        <v>0</v>
      </c>
      <c r="AW437" s="117">
        <v>0</v>
      </c>
      <c r="AX437" s="117">
        <v>0</v>
      </c>
      <c r="AY437" s="117">
        <v>0</v>
      </c>
      <c r="AZ437" s="117">
        <v>0</v>
      </c>
      <c r="BA437" s="117">
        <v>0</v>
      </c>
    </row>
    <row r="438" spans="1:53" s="138" customFormat="1" outlineLevel="2" x14ac:dyDescent="0.25">
      <c r="A438" s="138" t="s">
        <v>1282</v>
      </c>
      <c r="B438" s="139" t="s">
        <v>1283</v>
      </c>
      <c r="C438" s="140" t="s">
        <v>1284</v>
      </c>
      <c r="D438" s="141"/>
      <c r="E438" s="142"/>
      <c r="F438" s="143">
        <v>0</v>
      </c>
      <c r="G438" s="143">
        <v>0</v>
      </c>
      <c r="H438" s="144">
        <f t="shared" si="120"/>
        <v>0</v>
      </c>
      <c r="I438" s="145">
        <f t="shared" si="121"/>
        <v>0</v>
      </c>
      <c r="J438" s="146"/>
      <c r="K438" s="143">
        <v>0</v>
      </c>
      <c r="L438" s="143">
        <v>0</v>
      </c>
      <c r="M438" s="144">
        <f t="shared" si="122"/>
        <v>0</v>
      </c>
      <c r="N438" s="145">
        <f t="shared" si="123"/>
        <v>0</v>
      </c>
      <c r="O438" s="147"/>
      <c r="P438" s="146"/>
      <c r="Q438" s="143">
        <v>0</v>
      </c>
      <c r="R438" s="143">
        <v>0</v>
      </c>
      <c r="S438" s="144">
        <f t="shared" si="124"/>
        <v>0</v>
      </c>
      <c r="T438" s="145">
        <f t="shared" si="125"/>
        <v>0</v>
      </c>
      <c r="U438" s="146"/>
      <c r="V438" s="143">
        <v>0</v>
      </c>
      <c r="W438" s="143">
        <v>0</v>
      </c>
      <c r="X438" s="144">
        <f t="shared" si="126"/>
        <v>0</v>
      </c>
      <c r="Y438" s="145">
        <f t="shared" si="127"/>
        <v>0</v>
      </c>
      <c r="Z438" s="148"/>
      <c r="AA438" s="149">
        <v>0</v>
      </c>
      <c r="AB438" s="150"/>
      <c r="AC438" s="117">
        <v>0</v>
      </c>
      <c r="AD438" s="117">
        <v>0</v>
      </c>
      <c r="AE438" s="117">
        <v>0</v>
      </c>
      <c r="AF438" s="117">
        <v>0</v>
      </c>
      <c r="AG438" s="117">
        <v>0</v>
      </c>
      <c r="AH438" s="117">
        <v>0</v>
      </c>
      <c r="AI438" s="117">
        <v>0</v>
      </c>
      <c r="AJ438" s="117">
        <v>0</v>
      </c>
      <c r="AK438" s="117">
        <v>0</v>
      </c>
      <c r="AL438" s="117">
        <v>0</v>
      </c>
      <c r="AM438" s="117">
        <v>0</v>
      </c>
      <c r="AN438" s="117">
        <v>0</v>
      </c>
      <c r="AO438" s="150"/>
      <c r="AP438" s="117">
        <v>0</v>
      </c>
      <c r="AQ438" s="117">
        <v>0</v>
      </c>
      <c r="AR438" s="117">
        <v>0</v>
      </c>
      <c r="AS438" s="117">
        <v>0</v>
      </c>
      <c r="AT438" s="117">
        <v>0</v>
      </c>
      <c r="AU438" s="117">
        <v>0</v>
      </c>
      <c r="AV438" s="117">
        <v>0</v>
      </c>
      <c r="AW438" s="117">
        <v>0</v>
      </c>
      <c r="AX438" s="117">
        <v>0</v>
      </c>
      <c r="AY438" s="117">
        <v>0</v>
      </c>
      <c r="AZ438" s="117">
        <v>0</v>
      </c>
      <c r="BA438" s="117">
        <v>0</v>
      </c>
    </row>
    <row r="439" spans="1:53" s="138" customFormat="1" outlineLevel="2" x14ac:dyDescent="0.25">
      <c r="A439" s="138" t="s">
        <v>1285</v>
      </c>
      <c r="B439" s="139" t="s">
        <v>1286</v>
      </c>
      <c r="C439" s="140" t="s">
        <v>1284</v>
      </c>
      <c r="D439" s="141"/>
      <c r="E439" s="142"/>
      <c r="F439" s="143">
        <v>0</v>
      </c>
      <c r="G439" s="143">
        <v>0</v>
      </c>
      <c r="H439" s="144">
        <f t="shared" si="120"/>
        <v>0</v>
      </c>
      <c r="I439" s="145">
        <f t="shared" si="121"/>
        <v>0</v>
      </c>
      <c r="J439" s="146"/>
      <c r="K439" s="143">
        <v>0</v>
      </c>
      <c r="L439" s="143">
        <v>0</v>
      </c>
      <c r="M439" s="144">
        <f t="shared" si="122"/>
        <v>0</v>
      </c>
      <c r="N439" s="145">
        <f t="shared" si="123"/>
        <v>0</v>
      </c>
      <c r="O439" s="147"/>
      <c r="P439" s="146"/>
      <c r="Q439" s="143">
        <v>0</v>
      </c>
      <c r="R439" s="143">
        <v>0</v>
      </c>
      <c r="S439" s="144">
        <f t="shared" si="124"/>
        <v>0</v>
      </c>
      <c r="T439" s="145">
        <f t="shared" si="125"/>
        <v>0</v>
      </c>
      <c r="U439" s="146"/>
      <c r="V439" s="143">
        <v>1121.95</v>
      </c>
      <c r="W439" s="143">
        <v>933217.9</v>
      </c>
      <c r="X439" s="144">
        <f t="shared" si="126"/>
        <v>-932095.95000000007</v>
      </c>
      <c r="Y439" s="145">
        <f t="shared" si="127"/>
        <v>-0.99879776202321024</v>
      </c>
      <c r="Z439" s="148"/>
      <c r="AA439" s="149">
        <v>0</v>
      </c>
      <c r="AB439" s="150"/>
      <c r="AC439" s="117">
        <v>0</v>
      </c>
      <c r="AD439" s="117">
        <v>0</v>
      </c>
      <c r="AE439" s="117">
        <v>0</v>
      </c>
      <c r="AF439" s="117">
        <v>0</v>
      </c>
      <c r="AG439" s="117">
        <v>0</v>
      </c>
      <c r="AH439" s="117">
        <v>0</v>
      </c>
      <c r="AI439" s="117">
        <v>0</v>
      </c>
      <c r="AJ439" s="117">
        <v>0</v>
      </c>
      <c r="AK439" s="117">
        <v>0</v>
      </c>
      <c r="AL439" s="117">
        <v>1121.95</v>
      </c>
      <c r="AM439" s="117">
        <v>0</v>
      </c>
      <c r="AN439" s="117">
        <v>0</v>
      </c>
      <c r="AO439" s="150"/>
      <c r="AP439" s="117">
        <v>0</v>
      </c>
      <c r="AQ439" s="117">
        <v>0</v>
      </c>
      <c r="AR439" s="117">
        <v>0</v>
      </c>
      <c r="AS439" s="117">
        <v>0</v>
      </c>
      <c r="AT439" s="117">
        <v>0</v>
      </c>
      <c r="AU439" s="117">
        <v>0</v>
      </c>
      <c r="AV439" s="117">
        <v>0</v>
      </c>
      <c r="AW439" s="117">
        <v>0</v>
      </c>
      <c r="AX439" s="117">
        <v>0</v>
      </c>
      <c r="AY439" s="117">
        <v>0</v>
      </c>
      <c r="AZ439" s="117">
        <v>0</v>
      </c>
      <c r="BA439" s="117">
        <v>0</v>
      </c>
    </row>
    <row r="440" spans="1:53" s="138" customFormat="1" outlineLevel="2" x14ac:dyDescent="0.25">
      <c r="A440" s="138" t="s">
        <v>1287</v>
      </c>
      <c r="B440" s="139" t="s">
        <v>1288</v>
      </c>
      <c r="C440" s="140" t="s">
        <v>1284</v>
      </c>
      <c r="D440" s="141"/>
      <c r="E440" s="142"/>
      <c r="F440" s="143">
        <v>0</v>
      </c>
      <c r="G440" s="143">
        <v>207173.5</v>
      </c>
      <c r="H440" s="144">
        <f t="shared" si="120"/>
        <v>-207173.5</v>
      </c>
      <c r="I440" s="145" t="str">
        <f t="shared" si="121"/>
        <v>N.M.</v>
      </c>
      <c r="J440" s="146"/>
      <c r="K440" s="143">
        <v>0</v>
      </c>
      <c r="L440" s="143">
        <v>414347</v>
      </c>
      <c r="M440" s="144">
        <f t="shared" si="122"/>
        <v>-414347</v>
      </c>
      <c r="N440" s="145" t="str">
        <f t="shared" si="123"/>
        <v>N.M.</v>
      </c>
      <c r="O440" s="147"/>
      <c r="P440" s="146"/>
      <c r="Q440" s="143">
        <v>42702.11</v>
      </c>
      <c r="R440" s="143">
        <v>1634796.17</v>
      </c>
      <c r="S440" s="144">
        <f t="shared" si="124"/>
        <v>-1592094.0599999998</v>
      </c>
      <c r="T440" s="145">
        <f t="shared" si="125"/>
        <v>-0.97387924514161295</v>
      </c>
      <c r="U440" s="146"/>
      <c r="V440" s="143">
        <v>566771.66</v>
      </c>
      <c r="W440" s="143">
        <v>11922252.5</v>
      </c>
      <c r="X440" s="144">
        <f t="shared" si="126"/>
        <v>-11355480.84</v>
      </c>
      <c r="Y440" s="145">
        <f t="shared" si="127"/>
        <v>-0.95246102529702337</v>
      </c>
      <c r="Z440" s="148"/>
      <c r="AA440" s="149">
        <v>1220449.17</v>
      </c>
      <c r="AB440" s="150"/>
      <c r="AC440" s="117">
        <v>207173.5</v>
      </c>
      <c r="AD440" s="117">
        <v>207173.5</v>
      </c>
      <c r="AE440" s="117">
        <v>207173.5</v>
      </c>
      <c r="AF440" s="117">
        <v>207173.5</v>
      </c>
      <c r="AG440" s="117">
        <v>207173.5</v>
      </c>
      <c r="AH440" s="117">
        <v>-56809.96</v>
      </c>
      <c r="AI440" s="117">
        <v>0</v>
      </c>
      <c r="AJ440" s="117">
        <v>0</v>
      </c>
      <c r="AK440" s="117">
        <v>-40640.99</v>
      </c>
      <c r="AL440" s="117">
        <v>0</v>
      </c>
      <c r="AM440" s="117">
        <v>0</v>
      </c>
      <c r="AN440" s="117">
        <v>42702.11</v>
      </c>
      <c r="AO440" s="150"/>
      <c r="AP440" s="117">
        <v>0</v>
      </c>
      <c r="AQ440" s="117">
        <v>0</v>
      </c>
      <c r="AR440" s="117">
        <v>0</v>
      </c>
      <c r="AS440" s="117">
        <v>0</v>
      </c>
      <c r="AT440" s="117">
        <v>0</v>
      </c>
      <c r="AU440" s="117">
        <v>0</v>
      </c>
      <c r="AV440" s="117">
        <v>0</v>
      </c>
      <c r="AW440" s="117">
        <v>0</v>
      </c>
      <c r="AX440" s="117">
        <v>0</v>
      </c>
      <c r="AY440" s="117">
        <v>0</v>
      </c>
      <c r="AZ440" s="117">
        <v>0</v>
      </c>
      <c r="BA440" s="117">
        <v>0</v>
      </c>
    </row>
    <row r="441" spans="1:53" s="138" customFormat="1" outlineLevel="2" x14ac:dyDescent="0.25">
      <c r="A441" s="138" t="s">
        <v>1289</v>
      </c>
      <c r="B441" s="139" t="s">
        <v>117</v>
      </c>
      <c r="C441" s="140" t="s">
        <v>1284</v>
      </c>
      <c r="D441" s="141"/>
      <c r="E441" s="142"/>
      <c r="F441" s="143">
        <v>266264.83</v>
      </c>
      <c r="G441" s="143">
        <v>1019066.24</v>
      </c>
      <c r="H441" s="144">
        <f t="shared" si="120"/>
        <v>-752801.40999999992</v>
      </c>
      <c r="I441" s="145">
        <f t="shared" si="121"/>
        <v>-0.73871685711028945</v>
      </c>
      <c r="J441" s="146"/>
      <c r="K441" s="143">
        <v>538611.18000000005</v>
      </c>
      <c r="L441" s="143">
        <v>2045478.65</v>
      </c>
      <c r="M441" s="144">
        <f t="shared" si="122"/>
        <v>-1506867.4699999997</v>
      </c>
      <c r="N441" s="145">
        <f t="shared" si="123"/>
        <v>-0.73668208172204575</v>
      </c>
      <c r="O441" s="147"/>
      <c r="P441" s="146"/>
      <c r="Q441" s="143">
        <v>1771798.38</v>
      </c>
      <c r="R441" s="143">
        <v>2053339.65</v>
      </c>
      <c r="S441" s="144">
        <f t="shared" si="124"/>
        <v>-281541.27</v>
      </c>
      <c r="T441" s="145">
        <f t="shared" si="125"/>
        <v>-0.13711383306702329</v>
      </c>
      <c r="U441" s="146"/>
      <c r="V441" s="143">
        <v>11204479.789999999</v>
      </c>
      <c r="W441" s="143">
        <v>2001967.65</v>
      </c>
      <c r="X441" s="144">
        <f t="shared" si="126"/>
        <v>9202512.1399999987</v>
      </c>
      <c r="Y441" s="145">
        <f t="shared" si="127"/>
        <v>4.596733688478932</v>
      </c>
      <c r="Z441" s="148"/>
      <c r="AA441" s="149">
        <v>7861</v>
      </c>
      <c r="AB441" s="150"/>
      <c r="AC441" s="117">
        <v>1026412.41</v>
      </c>
      <c r="AD441" s="117">
        <v>1019066.24</v>
      </c>
      <c r="AE441" s="117">
        <v>1017092.77</v>
      </c>
      <c r="AF441" s="117">
        <v>1012216.93</v>
      </c>
      <c r="AG441" s="117">
        <v>1015657.83</v>
      </c>
      <c r="AH441" s="117">
        <v>1027981.55</v>
      </c>
      <c r="AI441" s="117">
        <v>1312499.1099999999</v>
      </c>
      <c r="AJ441" s="117">
        <v>1335825.8900000001</v>
      </c>
      <c r="AK441" s="117">
        <v>279317.84999999998</v>
      </c>
      <c r="AL441" s="117">
        <v>1214517.25</v>
      </c>
      <c r="AM441" s="117">
        <v>1217572.23</v>
      </c>
      <c r="AN441" s="117">
        <v>1233187.2</v>
      </c>
      <c r="AO441" s="150"/>
      <c r="AP441" s="117">
        <v>272346.34999999998</v>
      </c>
      <c r="AQ441" s="117">
        <v>266264.83</v>
      </c>
      <c r="AR441" s="117">
        <v>37843.629999999997</v>
      </c>
      <c r="AS441" s="117">
        <v>-2115.9700000000003</v>
      </c>
      <c r="AT441" s="117">
        <v>0</v>
      </c>
      <c r="AU441" s="117">
        <v>0</v>
      </c>
      <c r="AV441" s="117">
        <v>0</v>
      </c>
      <c r="AW441" s="117">
        <v>0</v>
      </c>
      <c r="AX441" s="117">
        <v>0</v>
      </c>
      <c r="AY441" s="117">
        <v>0</v>
      </c>
      <c r="AZ441" s="117">
        <v>0</v>
      </c>
      <c r="BA441" s="117">
        <v>0</v>
      </c>
    </row>
    <row r="442" spans="1:53" s="138" customFormat="1" outlineLevel="2" x14ac:dyDescent="0.25">
      <c r="A442" s="138" t="s">
        <v>1290</v>
      </c>
      <c r="B442" s="139" t="s">
        <v>1291</v>
      </c>
      <c r="C442" s="140" t="s">
        <v>1284</v>
      </c>
      <c r="D442" s="141"/>
      <c r="E442" s="142"/>
      <c r="F442" s="143">
        <v>996188</v>
      </c>
      <c r="G442" s="143">
        <v>0</v>
      </c>
      <c r="H442" s="144">
        <f t="shared" si="120"/>
        <v>996188</v>
      </c>
      <c r="I442" s="145" t="str">
        <f t="shared" si="121"/>
        <v>N.M.</v>
      </c>
      <c r="J442" s="146"/>
      <c r="K442" s="143">
        <v>1992376</v>
      </c>
      <c r="L442" s="143">
        <v>0</v>
      </c>
      <c r="M442" s="144">
        <f t="shared" si="122"/>
        <v>1992376</v>
      </c>
      <c r="N442" s="145" t="str">
        <f t="shared" si="123"/>
        <v>N.M.</v>
      </c>
      <c r="O442" s="147"/>
      <c r="P442" s="146"/>
      <c r="Q442" s="143">
        <v>1992376</v>
      </c>
      <c r="R442" s="143">
        <v>0</v>
      </c>
      <c r="S442" s="144">
        <f t="shared" si="124"/>
        <v>1992376</v>
      </c>
      <c r="T442" s="145" t="str">
        <f t="shared" si="125"/>
        <v>N.M.</v>
      </c>
      <c r="U442" s="146"/>
      <c r="V442" s="143">
        <v>1992376</v>
      </c>
      <c r="W442" s="143">
        <v>0</v>
      </c>
      <c r="X442" s="144">
        <f t="shared" si="126"/>
        <v>1992376</v>
      </c>
      <c r="Y442" s="145" t="str">
        <f t="shared" si="127"/>
        <v>N.M.</v>
      </c>
      <c r="Z442" s="148"/>
      <c r="AA442" s="149">
        <v>0</v>
      </c>
      <c r="AB442" s="150"/>
      <c r="AC442" s="117">
        <v>0</v>
      </c>
      <c r="AD442" s="117">
        <v>0</v>
      </c>
      <c r="AE442" s="117">
        <v>0</v>
      </c>
      <c r="AF442" s="117">
        <v>0</v>
      </c>
      <c r="AG442" s="117">
        <v>0</v>
      </c>
      <c r="AH442" s="117">
        <v>0</v>
      </c>
      <c r="AI442" s="117">
        <v>0</v>
      </c>
      <c r="AJ442" s="117">
        <v>0</v>
      </c>
      <c r="AK442" s="117">
        <v>0</v>
      </c>
      <c r="AL442" s="117">
        <v>0</v>
      </c>
      <c r="AM442" s="117">
        <v>0</v>
      </c>
      <c r="AN442" s="117">
        <v>0</v>
      </c>
      <c r="AO442" s="150"/>
      <c r="AP442" s="117">
        <v>996188</v>
      </c>
      <c r="AQ442" s="117">
        <v>996188</v>
      </c>
      <c r="AR442" s="117">
        <v>0</v>
      </c>
      <c r="AS442" s="117">
        <v>0</v>
      </c>
      <c r="AT442" s="117">
        <v>0</v>
      </c>
      <c r="AU442" s="117">
        <v>0</v>
      </c>
      <c r="AV442" s="117">
        <v>0</v>
      </c>
      <c r="AW442" s="117">
        <v>0</v>
      </c>
      <c r="AX442" s="117">
        <v>0</v>
      </c>
      <c r="AY442" s="117">
        <v>0</v>
      </c>
      <c r="AZ442" s="117">
        <v>0</v>
      </c>
      <c r="BA442" s="117">
        <v>0</v>
      </c>
    </row>
    <row r="443" spans="1:53" s="138" customFormat="1" outlineLevel="2" x14ac:dyDescent="0.25">
      <c r="A443" s="138" t="s">
        <v>1292</v>
      </c>
      <c r="B443" s="139" t="s">
        <v>1293</v>
      </c>
      <c r="C443" s="140" t="s">
        <v>1294</v>
      </c>
      <c r="D443" s="141"/>
      <c r="E443" s="142"/>
      <c r="F443" s="143">
        <v>0</v>
      </c>
      <c r="G443" s="143">
        <v>0</v>
      </c>
      <c r="H443" s="144">
        <f t="shared" si="120"/>
        <v>0</v>
      </c>
      <c r="I443" s="145">
        <f t="shared" si="121"/>
        <v>0</v>
      </c>
      <c r="J443" s="146"/>
      <c r="K443" s="143">
        <v>0</v>
      </c>
      <c r="L443" s="143">
        <v>0</v>
      </c>
      <c r="M443" s="144">
        <f t="shared" si="122"/>
        <v>0</v>
      </c>
      <c r="N443" s="145">
        <f t="shared" si="123"/>
        <v>0</v>
      </c>
      <c r="O443" s="147"/>
      <c r="P443" s="146"/>
      <c r="Q443" s="143">
        <v>0</v>
      </c>
      <c r="R443" s="143">
        <v>0</v>
      </c>
      <c r="S443" s="144">
        <f t="shared" si="124"/>
        <v>0</v>
      </c>
      <c r="T443" s="145">
        <f t="shared" si="125"/>
        <v>0</v>
      </c>
      <c r="U443" s="146"/>
      <c r="V443" s="143">
        <v>-78776</v>
      </c>
      <c r="W443" s="143">
        <v>0</v>
      </c>
      <c r="X443" s="144">
        <f t="shared" si="126"/>
        <v>-78776</v>
      </c>
      <c r="Y443" s="145" t="str">
        <f t="shared" si="127"/>
        <v>N.M.</v>
      </c>
      <c r="Z443" s="148"/>
      <c r="AA443" s="149">
        <v>0</v>
      </c>
      <c r="AB443" s="150"/>
      <c r="AC443" s="117">
        <v>0</v>
      </c>
      <c r="AD443" s="117">
        <v>0</v>
      </c>
      <c r="AE443" s="117">
        <v>0</v>
      </c>
      <c r="AF443" s="117">
        <v>0</v>
      </c>
      <c r="AG443" s="117">
        <v>0</v>
      </c>
      <c r="AH443" s="117">
        <v>0</v>
      </c>
      <c r="AI443" s="117">
        <v>0</v>
      </c>
      <c r="AJ443" s="117">
        <v>0</v>
      </c>
      <c r="AK443" s="117">
        <v>0</v>
      </c>
      <c r="AL443" s="117">
        <v>0</v>
      </c>
      <c r="AM443" s="117">
        <v>-78776</v>
      </c>
      <c r="AN443" s="117">
        <v>0</v>
      </c>
      <c r="AO443" s="150"/>
      <c r="AP443" s="117">
        <v>0</v>
      </c>
      <c r="AQ443" s="117">
        <v>0</v>
      </c>
      <c r="AR443" s="117">
        <v>0</v>
      </c>
      <c r="AS443" s="117">
        <v>0</v>
      </c>
      <c r="AT443" s="117">
        <v>0</v>
      </c>
      <c r="AU443" s="117">
        <v>0</v>
      </c>
      <c r="AV443" s="117">
        <v>0</v>
      </c>
      <c r="AW443" s="117">
        <v>0</v>
      </c>
      <c r="AX443" s="117">
        <v>0</v>
      </c>
      <c r="AY443" s="117">
        <v>0</v>
      </c>
      <c r="AZ443" s="117">
        <v>0</v>
      </c>
      <c r="BA443" s="117">
        <v>0</v>
      </c>
    </row>
    <row r="444" spans="1:53" s="138" customFormat="1" outlineLevel="2" x14ac:dyDescent="0.25">
      <c r="A444" s="138" t="s">
        <v>1295</v>
      </c>
      <c r="B444" s="139" t="s">
        <v>1296</v>
      </c>
      <c r="C444" s="140" t="s">
        <v>1294</v>
      </c>
      <c r="D444" s="141"/>
      <c r="E444" s="142"/>
      <c r="F444" s="143">
        <v>0</v>
      </c>
      <c r="G444" s="143">
        <v>0</v>
      </c>
      <c r="H444" s="144">
        <f t="shared" si="120"/>
        <v>0</v>
      </c>
      <c r="I444" s="145">
        <f t="shared" si="121"/>
        <v>0</v>
      </c>
      <c r="J444" s="146"/>
      <c r="K444" s="143">
        <v>0</v>
      </c>
      <c r="L444" s="143">
        <v>0</v>
      </c>
      <c r="M444" s="144">
        <f t="shared" si="122"/>
        <v>0</v>
      </c>
      <c r="N444" s="145">
        <f t="shared" si="123"/>
        <v>0</v>
      </c>
      <c r="O444" s="147"/>
      <c r="P444" s="146"/>
      <c r="Q444" s="143">
        <v>0</v>
      </c>
      <c r="R444" s="143">
        <v>0</v>
      </c>
      <c r="S444" s="144">
        <f t="shared" si="124"/>
        <v>0</v>
      </c>
      <c r="T444" s="145">
        <f t="shared" si="125"/>
        <v>0</v>
      </c>
      <c r="U444" s="146"/>
      <c r="V444" s="143">
        <v>0</v>
      </c>
      <c r="W444" s="143">
        <v>0</v>
      </c>
      <c r="X444" s="144">
        <f t="shared" si="126"/>
        <v>0</v>
      </c>
      <c r="Y444" s="145">
        <f t="shared" si="127"/>
        <v>0</v>
      </c>
      <c r="Z444" s="148"/>
      <c r="AA444" s="149">
        <v>0</v>
      </c>
      <c r="AB444" s="150"/>
      <c r="AC444" s="117">
        <v>0</v>
      </c>
      <c r="AD444" s="117">
        <v>0</v>
      </c>
      <c r="AE444" s="117">
        <v>0</v>
      </c>
      <c r="AF444" s="117">
        <v>0</v>
      </c>
      <c r="AG444" s="117">
        <v>0</v>
      </c>
      <c r="AH444" s="117">
        <v>0</v>
      </c>
      <c r="AI444" s="117">
        <v>0</v>
      </c>
      <c r="AJ444" s="117">
        <v>0</v>
      </c>
      <c r="AK444" s="117">
        <v>0</v>
      </c>
      <c r="AL444" s="117">
        <v>0</v>
      </c>
      <c r="AM444" s="117">
        <v>0</v>
      </c>
      <c r="AN444" s="117">
        <v>0</v>
      </c>
      <c r="AO444" s="150"/>
      <c r="AP444" s="117">
        <v>0</v>
      </c>
      <c r="AQ444" s="117">
        <v>0</v>
      </c>
      <c r="AR444" s="117">
        <v>0</v>
      </c>
      <c r="AS444" s="117">
        <v>0</v>
      </c>
      <c r="AT444" s="117">
        <v>0</v>
      </c>
      <c r="AU444" s="117">
        <v>0</v>
      </c>
      <c r="AV444" s="117">
        <v>0</v>
      </c>
      <c r="AW444" s="117">
        <v>0</v>
      </c>
      <c r="AX444" s="117">
        <v>0</v>
      </c>
      <c r="AY444" s="117">
        <v>0</v>
      </c>
      <c r="AZ444" s="117">
        <v>0</v>
      </c>
      <c r="BA444" s="117">
        <v>0</v>
      </c>
    </row>
    <row r="445" spans="1:53" s="138" customFormat="1" outlineLevel="2" x14ac:dyDescent="0.25">
      <c r="A445" s="138" t="s">
        <v>1297</v>
      </c>
      <c r="B445" s="139" t="s">
        <v>1298</v>
      </c>
      <c r="C445" s="140" t="s">
        <v>1294</v>
      </c>
      <c r="D445" s="141"/>
      <c r="E445" s="142"/>
      <c r="F445" s="143">
        <v>0</v>
      </c>
      <c r="G445" s="143">
        <v>-8487</v>
      </c>
      <c r="H445" s="144">
        <f t="shared" si="120"/>
        <v>8487</v>
      </c>
      <c r="I445" s="145" t="str">
        <f t="shared" si="121"/>
        <v>N.M.</v>
      </c>
      <c r="J445" s="146"/>
      <c r="K445" s="143">
        <v>0</v>
      </c>
      <c r="L445" s="143">
        <v>-8487</v>
      </c>
      <c r="M445" s="144">
        <f t="shared" si="122"/>
        <v>8487</v>
      </c>
      <c r="N445" s="145" t="str">
        <f t="shared" si="123"/>
        <v>N.M.</v>
      </c>
      <c r="O445" s="147"/>
      <c r="P445" s="146"/>
      <c r="Q445" s="143">
        <v>0</v>
      </c>
      <c r="R445" s="143">
        <v>-5187</v>
      </c>
      <c r="S445" s="144">
        <f t="shared" si="124"/>
        <v>5187</v>
      </c>
      <c r="T445" s="145" t="str">
        <f t="shared" si="125"/>
        <v>N.M.</v>
      </c>
      <c r="U445" s="146"/>
      <c r="V445" s="143">
        <v>0</v>
      </c>
      <c r="W445" s="143">
        <v>24898</v>
      </c>
      <c r="X445" s="144">
        <f t="shared" si="126"/>
        <v>-24898</v>
      </c>
      <c r="Y445" s="145" t="str">
        <f t="shared" si="127"/>
        <v>N.M.</v>
      </c>
      <c r="Z445" s="148"/>
      <c r="AA445" s="149">
        <v>3300</v>
      </c>
      <c r="AB445" s="150"/>
      <c r="AC445" s="117">
        <v>0</v>
      </c>
      <c r="AD445" s="117">
        <v>-8487</v>
      </c>
      <c r="AE445" s="117">
        <v>0</v>
      </c>
      <c r="AF445" s="117">
        <v>0</v>
      </c>
      <c r="AG445" s="117">
        <v>0</v>
      </c>
      <c r="AH445" s="117">
        <v>0</v>
      </c>
      <c r="AI445" s="117">
        <v>0</v>
      </c>
      <c r="AJ445" s="117">
        <v>0</v>
      </c>
      <c r="AK445" s="117">
        <v>0</v>
      </c>
      <c r="AL445" s="117">
        <v>0</v>
      </c>
      <c r="AM445" s="117">
        <v>0</v>
      </c>
      <c r="AN445" s="117">
        <v>0</v>
      </c>
      <c r="AO445" s="150"/>
      <c r="AP445" s="117">
        <v>0</v>
      </c>
      <c r="AQ445" s="117">
        <v>0</v>
      </c>
      <c r="AR445" s="117">
        <v>0</v>
      </c>
      <c r="AS445" s="117">
        <v>0</v>
      </c>
      <c r="AT445" s="117">
        <v>0</v>
      </c>
      <c r="AU445" s="117">
        <v>0</v>
      </c>
      <c r="AV445" s="117">
        <v>0</v>
      </c>
      <c r="AW445" s="117">
        <v>0</v>
      </c>
      <c r="AX445" s="117">
        <v>0</v>
      </c>
      <c r="AY445" s="117">
        <v>0</v>
      </c>
      <c r="AZ445" s="117">
        <v>0</v>
      </c>
      <c r="BA445" s="117">
        <v>0</v>
      </c>
    </row>
    <row r="446" spans="1:53" s="138" customFormat="1" outlineLevel="2" x14ac:dyDescent="0.25">
      <c r="A446" s="138" t="s">
        <v>1299</v>
      </c>
      <c r="B446" s="139" t="s">
        <v>1300</v>
      </c>
      <c r="C446" s="140" t="s">
        <v>1294</v>
      </c>
      <c r="D446" s="141"/>
      <c r="E446" s="142"/>
      <c r="F446" s="143">
        <v>-14498</v>
      </c>
      <c r="G446" s="143">
        <v>3000</v>
      </c>
      <c r="H446" s="144">
        <f t="shared" si="120"/>
        <v>-17498</v>
      </c>
      <c r="I446" s="145">
        <f t="shared" si="121"/>
        <v>-5.8326666666666664</v>
      </c>
      <c r="J446" s="146"/>
      <c r="K446" s="143">
        <v>-14498</v>
      </c>
      <c r="L446" s="143">
        <v>6000</v>
      </c>
      <c r="M446" s="144">
        <f t="shared" si="122"/>
        <v>-20498</v>
      </c>
      <c r="N446" s="145">
        <f t="shared" si="123"/>
        <v>-3.4163333333333332</v>
      </c>
      <c r="O446" s="147"/>
      <c r="P446" s="146"/>
      <c r="Q446" s="143">
        <v>-11498</v>
      </c>
      <c r="R446" s="143">
        <v>6000</v>
      </c>
      <c r="S446" s="144">
        <f t="shared" si="124"/>
        <v>-17498</v>
      </c>
      <c r="T446" s="145">
        <f t="shared" si="125"/>
        <v>-2.9163333333333332</v>
      </c>
      <c r="U446" s="146"/>
      <c r="V446" s="143">
        <v>15328</v>
      </c>
      <c r="W446" s="143">
        <v>6000</v>
      </c>
      <c r="X446" s="144">
        <f t="shared" si="126"/>
        <v>9328</v>
      </c>
      <c r="Y446" s="145">
        <f t="shared" si="127"/>
        <v>1.5546666666666666</v>
      </c>
      <c r="Z446" s="148"/>
      <c r="AA446" s="149">
        <v>0</v>
      </c>
      <c r="AB446" s="150"/>
      <c r="AC446" s="117">
        <v>3000</v>
      </c>
      <c r="AD446" s="117">
        <v>3000</v>
      </c>
      <c r="AE446" s="117">
        <v>3000</v>
      </c>
      <c r="AF446" s="117">
        <v>3000</v>
      </c>
      <c r="AG446" s="117">
        <v>3177</v>
      </c>
      <c r="AH446" s="117">
        <v>3000</v>
      </c>
      <c r="AI446" s="117">
        <v>3000</v>
      </c>
      <c r="AJ446" s="117">
        <v>2356</v>
      </c>
      <c r="AK446" s="117">
        <v>3000</v>
      </c>
      <c r="AL446" s="117">
        <v>3000</v>
      </c>
      <c r="AM446" s="117">
        <v>3293</v>
      </c>
      <c r="AN446" s="117">
        <v>3000</v>
      </c>
      <c r="AO446" s="150"/>
      <c r="AP446" s="117">
        <v>0</v>
      </c>
      <c r="AQ446" s="117">
        <v>-14498</v>
      </c>
      <c r="AR446" s="117">
        <v>0</v>
      </c>
      <c r="AS446" s="117">
        <v>0</v>
      </c>
      <c r="AT446" s="117">
        <v>0</v>
      </c>
      <c r="AU446" s="117">
        <v>0</v>
      </c>
      <c r="AV446" s="117">
        <v>0</v>
      </c>
      <c r="AW446" s="117">
        <v>0</v>
      </c>
      <c r="AX446" s="117">
        <v>0</v>
      </c>
      <c r="AY446" s="117">
        <v>0</v>
      </c>
      <c r="AZ446" s="117">
        <v>0</v>
      </c>
      <c r="BA446" s="117">
        <v>0</v>
      </c>
    </row>
    <row r="447" spans="1:53" s="138" customFormat="1" outlineLevel="2" x14ac:dyDescent="0.25">
      <c r="A447" s="138" t="s">
        <v>1301</v>
      </c>
      <c r="B447" s="139" t="s">
        <v>1302</v>
      </c>
      <c r="C447" s="140" t="s">
        <v>1294</v>
      </c>
      <c r="D447" s="141"/>
      <c r="E447" s="142"/>
      <c r="F447" s="143">
        <v>2300</v>
      </c>
      <c r="G447" s="143">
        <v>0</v>
      </c>
      <c r="H447" s="144">
        <f t="shared" si="120"/>
        <v>2300</v>
      </c>
      <c r="I447" s="145" t="str">
        <f t="shared" si="121"/>
        <v>N.M.</v>
      </c>
      <c r="J447" s="146"/>
      <c r="K447" s="143">
        <v>4600</v>
      </c>
      <c r="L447" s="143">
        <v>0</v>
      </c>
      <c r="M447" s="144">
        <f t="shared" si="122"/>
        <v>4600</v>
      </c>
      <c r="N447" s="145" t="str">
        <f t="shared" si="123"/>
        <v>N.M.</v>
      </c>
      <c r="O447" s="147"/>
      <c r="P447" s="146"/>
      <c r="Q447" s="143">
        <v>4600</v>
      </c>
      <c r="R447" s="143">
        <v>0</v>
      </c>
      <c r="S447" s="144">
        <f t="shared" si="124"/>
        <v>4600</v>
      </c>
      <c r="T447" s="145" t="str">
        <f t="shared" si="125"/>
        <v>N.M.</v>
      </c>
      <c r="U447" s="146"/>
      <c r="V447" s="143">
        <v>4600</v>
      </c>
      <c r="W447" s="143">
        <v>0</v>
      </c>
      <c r="X447" s="144">
        <f t="shared" si="126"/>
        <v>4600</v>
      </c>
      <c r="Y447" s="145" t="str">
        <f t="shared" si="127"/>
        <v>N.M.</v>
      </c>
      <c r="Z447" s="148"/>
      <c r="AA447" s="149">
        <v>0</v>
      </c>
      <c r="AB447" s="150"/>
      <c r="AC447" s="117">
        <v>0</v>
      </c>
      <c r="AD447" s="117">
        <v>0</v>
      </c>
      <c r="AE447" s="117">
        <v>0</v>
      </c>
      <c r="AF447" s="117">
        <v>0</v>
      </c>
      <c r="AG447" s="117">
        <v>0</v>
      </c>
      <c r="AH447" s="117">
        <v>0</v>
      </c>
      <c r="AI447" s="117">
        <v>0</v>
      </c>
      <c r="AJ447" s="117">
        <v>0</v>
      </c>
      <c r="AK447" s="117">
        <v>0</v>
      </c>
      <c r="AL447" s="117">
        <v>0</v>
      </c>
      <c r="AM447" s="117">
        <v>0</v>
      </c>
      <c r="AN447" s="117">
        <v>0</v>
      </c>
      <c r="AO447" s="150"/>
      <c r="AP447" s="117">
        <v>2300</v>
      </c>
      <c r="AQ447" s="117">
        <v>2300</v>
      </c>
      <c r="AR447" s="117">
        <v>0</v>
      </c>
      <c r="AS447" s="117">
        <v>0</v>
      </c>
      <c r="AT447" s="117">
        <v>0</v>
      </c>
      <c r="AU447" s="117">
        <v>0</v>
      </c>
      <c r="AV447" s="117">
        <v>0</v>
      </c>
      <c r="AW447" s="117">
        <v>0</v>
      </c>
      <c r="AX447" s="117">
        <v>0</v>
      </c>
      <c r="AY447" s="117">
        <v>0</v>
      </c>
      <c r="AZ447" s="117">
        <v>0</v>
      </c>
      <c r="BA447" s="117">
        <v>0</v>
      </c>
    </row>
    <row r="448" spans="1:53" s="138" customFormat="1" outlineLevel="2" x14ac:dyDescent="0.25">
      <c r="A448" s="138" t="s">
        <v>1303</v>
      </c>
      <c r="B448" s="139" t="s">
        <v>1304</v>
      </c>
      <c r="C448" s="140" t="s">
        <v>1305</v>
      </c>
      <c r="D448" s="141"/>
      <c r="E448" s="142"/>
      <c r="F448" s="143">
        <v>-2057.2800000000002</v>
      </c>
      <c r="G448" s="143">
        <v>3127.1800000000003</v>
      </c>
      <c r="H448" s="144">
        <f t="shared" si="120"/>
        <v>-5184.4600000000009</v>
      </c>
      <c r="I448" s="145">
        <f t="shared" si="121"/>
        <v>-1.6578706694210121</v>
      </c>
      <c r="J448" s="146"/>
      <c r="K448" s="143">
        <v>22476.62</v>
      </c>
      <c r="L448" s="143">
        <v>37764.22</v>
      </c>
      <c r="M448" s="144">
        <f t="shared" si="122"/>
        <v>-15287.600000000002</v>
      </c>
      <c r="N448" s="145">
        <f t="shared" si="123"/>
        <v>-0.40481704640000515</v>
      </c>
      <c r="O448" s="147"/>
      <c r="P448" s="146"/>
      <c r="Q448" s="143">
        <v>43753.259999999995</v>
      </c>
      <c r="R448" s="143">
        <v>61661</v>
      </c>
      <c r="S448" s="144">
        <f t="shared" si="124"/>
        <v>-17907.740000000005</v>
      </c>
      <c r="T448" s="145">
        <f t="shared" si="125"/>
        <v>-0.29042247125411536</v>
      </c>
      <c r="U448" s="146"/>
      <c r="V448" s="143">
        <v>47330.09</v>
      </c>
      <c r="W448" s="143">
        <v>65003.59</v>
      </c>
      <c r="X448" s="144">
        <f t="shared" si="126"/>
        <v>-17673.5</v>
      </c>
      <c r="Y448" s="145">
        <f t="shared" si="127"/>
        <v>-0.27188498358321445</v>
      </c>
      <c r="Z448" s="148"/>
      <c r="AA448" s="149">
        <v>23896.78</v>
      </c>
      <c r="AB448" s="150"/>
      <c r="AC448" s="117">
        <v>34637.040000000001</v>
      </c>
      <c r="AD448" s="117">
        <v>3127.1800000000003</v>
      </c>
      <c r="AE448" s="117">
        <v>269.49</v>
      </c>
      <c r="AF448" s="117">
        <v>521.07000000000005</v>
      </c>
      <c r="AG448" s="117">
        <v>446.23</v>
      </c>
      <c r="AH448" s="117">
        <v>753.51</v>
      </c>
      <c r="AI448" s="117">
        <v>253.08</v>
      </c>
      <c r="AJ448" s="117">
        <v>571.13</v>
      </c>
      <c r="AK448" s="117">
        <v>313.05</v>
      </c>
      <c r="AL448" s="117">
        <v>249.74</v>
      </c>
      <c r="AM448" s="117">
        <v>199.53</v>
      </c>
      <c r="AN448" s="117">
        <v>21276.639999999999</v>
      </c>
      <c r="AO448" s="150"/>
      <c r="AP448" s="117">
        <v>24533.9</v>
      </c>
      <c r="AQ448" s="117">
        <v>-2057.2800000000002</v>
      </c>
      <c r="AR448" s="117">
        <v>829.06000000000006</v>
      </c>
      <c r="AS448" s="117">
        <v>0</v>
      </c>
      <c r="AT448" s="117">
        <v>0</v>
      </c>
      <c r="AU448" s="117">
        <v>0</v>
      </c>
      <c r="AV448" s="117">
        <v>0</v>
      </c>
      <c r="AW448" s="117">
        <v>0</v>
      </c>
      <c r="AX448" s="117">
        <v>0</v>
      </c>
      <c r="AY448" s="117">
        <v>0</v>
      </c>
      <c r="AZ448" s="117">
        <v>0</v>
      </c>
      <c r="BA448" s="117">
        <v>0</v>
      </c>
    </row>
    <row r="449" spans="1:53" s="138" customFormat="1" outlineLevel="2" x14ac:dyDescent="0.25">
      <c r="A449" s="138" t="s">
        <v>1306</v>
      </c>
      <c r="B449" s="139" t="s">
        <v>1307</v>
      </c>
      <c r="C449" s="140" t="s">
        <v>1308</v>
      </c>
      <c r="D449" s="141"/>
      <c r="E449" s="142"/>
      <c r="F449" s="143">
        <v>0</v>
      </c>
      <c r="G449" s="143">
        <v>0</v>
      </c>
      <c r="H449" s="144">
        <f t="shared" si="120"/>
        <v>0</v>
      </c>
      <c r="I449" s="145">
        <f t="shared" si="121"/>
        <v>0</v>
      </c>
      <c r="J449" s="146"/>
      <c r="K449" s="143">
        <v>0</v>
      </c>
      <c r="L449" s="143">
        <v>0</v>
      </c>
      <c r="M449" s="144">
        <f t="shared" si="122"/>
        <v>0</v>
      </c>
      <c r="N449" s="145">
        <f t="shared" si="123"/>
        <v>0</v>
      </c>
      <c r="O449" s="147"/>
      <c r="P449" s="146"/>
      <c r="Q449" s="143">
        <v>0</v>
      </c>
      <c r="R449" s="143">
        <v>-11310.5</v>
      </c>
      <c r="S449" s="144">
        <f t="shared" si="124"/>
        <v>11310.5</v>
      </c>
      <c r="T449" s="145" t="str">
        <f t="shared" si="125"/>
        <v>N.M.</v>
      </c>
      <c r="U449" s="146"/>
      <c r="V449" s="143">
        <v>0</v>
      </c>
      <c r="W449" s="143">
        <v>1545.5</v>
      </c>
      <c r="X449" s="144">
        <f t="shared" si="126"/>
        <v>-1545.5</v>
      </c>
      <c r="Y449" s="145" t="str">
        <f t="shared" si="127"/>
        <v>N.M.</v>
      </c>
      <c r="Z449" s="148"/>
      <c r="AA449" s="149">
        <v>-11310.5</v>
      </c>
      <c r="AB449" s="150"/>
      <c r="AC449" s="117">
        <v>0</v>
      </c>
      <c r="AD449" s="117">
        <v>0</v>
      </c>
      <c r="AE449" s="117">
        <v>0</v>
      </c>
      <c r="AF449" s="117">
        <v>0</v>
      </c>
      <c r="AG449" s="117">
        <v>0</v>
      </c>
      <c r="AH449" s="117">
        <v>0</v>
      </c>
      <c r="AI449" s="117">
        <v>0</v>
      </c>
      <c r="AJ449" s="117">
        <v>0</v>
      </c>
      <c r="AK449" s="117">
        <v>0</v>
      </c>
      <c r="AL449" s="117">
        <v>0</v>
      </c>
      <c r="AM449" s="117">
        <v>0</v>
      </c>
      <c r="AN449" s="117">
        <v>0</v>
      </c>
      <c r="AO449" s="150"/>
      <c r="AP449" s="117">
        <v>0</v>
      </c>
      <c r="AQ449" s="117">
        <v>0</v>
      </c>
      <c r="AR449" s="117">
        <v>0</v>
      </c>
      <c r="AS449" s="117">
        <v>0</v>
      </c>
      <c r="AT449" s="117">
        <v>0</v>
      </c>
      <c r="AU449" s="117">
        <v>0</v>
      </c>
      <c r="AV449" s="117">
        <v>0</v>
      </c>
      <c r="AW449" s="117">
        <v>0</v>
      </c>
      <c r="AX449" s="117">
        <v>0</v>
      </c>
      <c r="AY449" s="117">
        <v>0</v>
      </c>
      <c r="AZ449" s="117">
        <v>0</v>
      </c>
      <c r="BA449" s="117">
        <v>0</v>
      </c>
    </row>
    <row r="450" spans="1:53" s="138" customFormat="1" outlineLevel="2" x14ac:dyDescent="0.25">
      <c r="A450" s="138" t="s">
        <v>1309</v>
      </c>
      <c r="B450" s="139" t="s">
        <v>1310</v>
      </c>
      <c r="C450" s="140" t="s">
        <v>1308</v>
      </c>
      <c r="D450" s="141"/>
      <c r="E450" s="142"/>
      <c r="F450" s="143">
        <v>0</v>
      </c>
      <c r="G450" s="143">
        <v>0</v>
      </c>
      <c r="H450" s="144">
        <f t="shared" si="120"/>
        <v>0</v>
      </c>
      <c r="I450" s="145">
        <f t="shared" si="121"/>
        <v>0</v>
      </c>
      <c r="J450" s="146"/>
      <c r="K450" s="143">
        <v>0</v>
      </c>
      <c r="L450" s="143">
        <v>0</v>
      </c>
      <c r="M450" s="144">
        <f t="shared" si="122"/>
        <v>0</v>
      </c>
      <c r="N450" s="145">
        <f t="shared" si="123"/>
        <v>0</v>
      </c>
      <c r="O450" s="147"/>
      <c r="P450" s="146"/>
      <c r="Q450" s="143">
        <v>0</v>
      </c>
      <c r="R450" s="143">
        <v>0</v>
      </c>
      <c r="S450" s="144">
        <f t="shared" si="124"/>
        <v>0</v>
      </c>
      <c r="T450" s="145">
        <f t="shared" si="125"/>
        <v>0</v>
      </c>
      <c r="U450" s="146"/>
      <c r="V450" s="143">
        <v>0</v>
      </c>
      <c r="W450" s="143">
        <v>0</v>
      </c>
      <c r="X450" s="144">
        <f t="shared" si="126"/>
        <v>0</v>
      </c>
      <c r="Y450" s="145">
        <f t="shared" si="127"/>
        <v>0</v>
      </c>
      <c r="Z450" s="148"/>
      <c r="AA450" s="149">
        <v>0</v>
      </c>
      <c r="AB450" s="150"/>
      <c r="AC450" s="117">
        <v>0</v>
      </c>
      <c r="AD450" s="117">
        <v>0</v>
      </c>
      <c r="AE450" s="117">
        <v>0</v>
      </c>
      <c r="AF450" s="117">
        <v>0</v>
      </c>
      <c r="AG450" s="117">
        <v>0</v>
      </c>
      <c r="AH450" s="117">
        <v>0</v>
      </c>
      <c r="AI450" s="117">
        <v>0</v>
      </c>
      <c r="AJ450" s="117">
        <v>0</v>
      </c>
      <c r="AK450" s="117">
        <v>0</v>
      </c>
      <c r="AL450" s="117">
        <v>0</v>
      </c>
      <c r="AM450" s="117">
        <v>0</v>
      </c>
      <c r="AN450" s="117">
        <v>0</v>
      </c>
      <c r="AO450" s="150"/>
      <c r="AP450" s="117">
        <v>0</v>
      </c>
      <c r="AQ450" s="117">
        <v>0</v>
      </c>
      <c r="AR450" s="117">
        <v>0</v>
      </c>
      <c r="AS450" s="117">
        <v>0</v>
      </c>
      <c r="AT450" s="117">
        <v>0</v>
      </c>
      <c r="AU450" s="117">
        <v>0</v>
      </c>
      <c r="AV450" s="117">
        <v>0</v>
      </c>
      <c r="AW450" s="117">
        <v>0</v>
      </c>
      <c r="AX450" s="117">
        <v>0</v>
      </c>
      <c r="AY450" s="117">
        <v>0</v>
      </c>
      <c r="AZ450" s="117">
        <v>0</v>
      </c>
      <c r="BA450" s="117">
        <v>0</v>
      </c>
    </row>
    <row r="451" spans="1:53" s="138" customFormat="1" outlineLevel="2" x14ac:dyDescent="0.25">
      <c r="A451" s="138" t="s">
        <v>1311</v>
      </c>
      <c r="B451" s="139" t="s">
        <v>1312</v>
      </c>
      <c r="C451" s="140" t="s">
        <v>1313</v>
      </c>
      <c r="D451" s="141"/>
      <c r="E451" s="142"/>
      <c r="F451" s="143">
        <v>0</v>
      </c>
      <c r="G451" s="143">
        <v>0</v>
      </c>
      <c r="H451" s="144">
        <f t="shared" si="120"/>
        <v>0</v>
      </c>
      <c r="I451" s="145">
        <f t="shared" si="121"/>
        <v>0</v>
      </c>
      <c r="J451" s="146"/>
      <c r="K451" s="143">
        <v>0</v>
      </c>
      <c r="L451" s="143">
        <v>0</v>
      </c>
      <c r="M451" s="144">
        <f t="shared" si="122"/>
        <v>0</v>
      </c>
      <c r="N451" s="145">
        <f t="shared" si="123"/>
        <v>0</v>
      </c>
      <c r="O451" s="147"/>
      <c r="P451" s="146"/>
      <c r="Q451" s="143">
        <v>0</v>
      </c>
      <c r="R451" s="143">
        <v>0</v>
      </c>
      <c r="S451" s="144">
        <f t="shared" si="124"/>
        <v>0</v>
      </c>
      <c r="T451" s="145">
        <f t="shared" si="125"/>
        <v>0</v>
      </c>
      <c r="U451" s="146"/>
      <c r="V451" s="143">
        <v>0</v>
      </c>
      <c r="W451" s="143">
        <v>0</v>
      </c>
      <c r="X451" s="144">
        <f t="shared" si="126"/>
        <v>0</v>
      </c>
      <c r="Y451" s="145">
        <f t="shared" si="127"/>
        <v>0</v>
      </c>
      <c r="Z451" s="148"/>
      <c r="AA451" s="149">
        <v>0</v>
      </c>
      <c r="AB451" s="150"/>
      <c r="AC451" s="117">
        <v>0</v>
      </c>
      <c r="AD451" s="117">
        <v>0</v>
      </c>
      <c r="AE451" s="117">
        <v>0</v>
      </c>
      <c r="AF451" s="117">
        <v>0</v>
      </c>
      <c r="AG451" s="117">
        <v>0</v>
      </c>
      <c r="AH451" s="117">
        <v>0</v>
      </c>
      <c r="AI451" s="117">
        <v>0</v>
      </c>
      <c r="AJ451" s="117">
        <v>0</v>
      </c>
      <c r="AK451" s="117">
        <v>0</v>
      </c>
      <c r="AL451" s="117">
        <v>0</v>
      </c>
      <c r="AM451" s="117">
        <v>0</v>
      </c>
      <c r="AN451" s="117">
        <v>0</v>
      </c>
      <c r="AO451" s="150"/>
      <c r="AP451" s="117">
        <v>0</v>
      </c>
      <c r="AQ451" s="117">
        <v>0</v>
      </c>
      <c r="AR451" s="117">
        <v>0</v>
      </c>
      <c r="AS451" s="117">
        <v>0</v>
      </c>
      <c r="AT451" s="117">
        <v>0</v>
      </c>
      <c r="AU451" s="117">
        <v>0</v>
      </c>
      <c r="AV451" s="117">
        <v>0</v>
      </c>
      <c r="AW451" s="117">
        <v>0</v>
      </c>
      <c r="AX451" s="117">
        <v>0</v>
      </c>
      <c r="AY451" s="117">
        <v>0</v>
      </c>
      <c r="AZ451" s="117">
        <v>0</v>
      </c>
      <c r="BA451" s="117">
        <v>0</v>
      </c>
    </row>
    <row r="452" spans="1:53" s="138" customFormat="1" outlineLevel="2" x14ac:dyDescent="0.25">
      <c r="A452" s="138" t="s">
        <v>1314</v>
      </c>
      <c r="B452" s="139" t="s">
        <v>1315</v>
      </c>
      <c r="C452" s="140" t="s">
        <v>1313</v>
      </c>
      <c r="D452" s="141"/>
      <c r="E452" s="142"/>
      <c r="F452" s="143">
        <v>0</v>
      </c>
      <c r="G452" s="143">
        <v>0</v>
      </c>
      <c r="H452" s="144">
        <f t="shared" si="120"/>
        <v>0</v>
      </c>
      <c r="I452" s="145">
        <f t="shared" si="121"/>
        <v>0</v>
      </c>
      <c r="J452" s="146"/>
      <c r="K452" s="143">
        <v>0</v>
      </c>
      <c r="L452" s="143">
        <v>899.95</v>
      </c>
      <c r="M452" s="144">
        <f t="shared" si="122"/>
        <v>-899.95</v>
      </c>
      <c r="N452" s="145" t="str">
        <f t="shared" si="123"/>
        <v>N.M.</v>
      </c>
      <c r="O452" s="147"/>
      <c r="P452" s="146"/>
      <c r="Q452" s="143">
        <v>0</v>
      </c>
      <c r="R452" s="143">
        <v>899.95</v>
      </c>
      <c r="S452" s="144">
        <f t="shared" si="124"/>
        <v>-899.95</v>
      </c>
      <c r="T452" s="145" t="str">
        <f t="shared" si="125"/>
        <v>N.M.</v>
      </c>
      <c r="U452" s="146"/>
      <c r="V452" s="143">
        <v>0</v>
      </c>
      <c r="W452" s="143">
        <v>5904.42</v>
      </c>
      <c r="X452" s="144">
        <f t="shared" si="126"/>
        <v>-5904.42</v>
      </c>
      <c r="Y452" s="145" t="str">
        <f t="shared" si="127"/>
        <v>N.M.</v>
      </c>
      <c r="Z452" s="148"/>
      <c r="AA452" s="149">
        <v>0</v>
      </c>
      <c r="AB452" s="150"/>
      <c r="AC452" s="117">
        <v>899.95</v>
      </c>
      <c r="AD452" s="117">
        <v>0</v>
      </c>
      <c r="AE452" s="117">
        <v>0</v>
      </c>
      <c r="AF452" s="117">
        <v>0</v>
      </c>
      <c r="AG452" s="117">
        <v>0</v>
      </c>
      <c r="AH452" s="117">
        <v>0</v>
      </c>
      <c r="AI452" s="117">
        <v>0</v>
      </c>
      <c r="AJ452" s="117">
        <v>0</v>
      </c>
      <c r="AK452" s="117">
        <v>0</v>
      </c>
      <c r="AL452" s="117">
        <v>0</v>
      </c>
      <c r="AM452" s="117">
        <v>0</v>
      </c>
      <c r="AN452" s="117">
        <v>0</v>
      </c>
      <c r="AO452" s="150"/>
      <c r="AP452" s="117">
        <v>0</v>
      </c>
      <c r="AQ452" s="117">
        <v>0</v>
      </c>
      <c r="AR452" s="117">
        <v>0</v>
      </c>
      <c r="AS452" s="117">
        <v>0</v>
      </c>
      <c r="AT452" s="117">
        <v>0</v>
      </c>
      <c r="AU452" s="117">
        <v>0</v>
      </c>
      <c r="AV452" s="117">
        <v>0</v>
      </c>
      <c r="AW452" s="117">
        <v>0</v>
      </c>
      <c r="AX452" s="117">
        <v>0</v>
      </c>
      <c r="AY452" s="117">
        <v>0</v>
      </c>
      <c r="AZ452" s="117">
        <v>0</v>
      </c>
      <c r="BA452" s="117">
        <v>0</v>
      </c>
    </row>
    <row r="453" spans="1:53" s="138" customFormat="1" outlineLevel="2" x14ac:dyDescent="0.25">
      <c r="A453" s="138" t="s">
        <v>1316</v>
      </c>
      <c r="B453" s="139" t="s">
        <v>1317</v>
      </c>
      <c r="C453" s="140" t="s">
        <v>1313</v>
      </c>
      <c r="D453" s="141"/>
      <c r="E453" s="142"/>
      <c r="F453" s="143">
        <v>0</v>
      </c>
      <c r="G453" s="143">
        <v>0</v>
      </c>
      <c r="H453" s="144">
        <f t="shared" si="120"/>
        <v>0</v>
      </c>
      <c r="I453" s="145">
        <f t="shared" si="121"/>
        <v>0</v>
      </c>
      <c r="J453" s="146"/>
      <c r="K453" s="143">
        <v>1191.03</v>
      </c>
      <c r="L453" s="143">
        <v>0</v>
      </c>
      <c r="M453" s="144">
        <f t="shared" si="122"/>
        <v>1191.03</v>
      </c>
      <c r="N453" s="145" t="str">
        <f t="shared" si="123"/>
        <v>N.M.</v>
      </c>
      <c r="O453" s="147"/>
      <c r="P453" s="146"/>
      <c r="Q453" s="143">
        <v>1191.03</v>
      </c>
      <c r="R453" s="143">
        <v>0</v>
      </c>
      <c r="S453" s="144">
        <f t="shared" si="124"/>
        <v>1191.03</v>
      </c>
      <c r="T453" s="145" t="str">
        <f t="shared" si="125"/>
        <v>N.M.</v>
      </c>
      <c r="U453" s="146"/>
      <c r="V453" s="143">
        <v>6603.72</v>
      </c>
      <c r="W453" s="143">
        <v>0</v>
      </c>
      <c r="X453" s="144">
        <f t="shared" si="126"/>
        <v>6603.72</v>
      </c>
      <c r="Y453" s="145" t="str">
        <f t="shared" si="127"/>
        <v>N.M.</v>
      </c>
      <c r="Z453" s="148"/>
      <c r="AA453" s="149">
        <v>0</v>
      </c>
      <c r="AB453" s="150"/>
      <c r="AC453" s="117">
        <v>0</v>
      </c>
      <c r="AD453" s="117">
        <v>0</v>
      </c>
      <c r="AE453" s="117">
        <v>0</v>
      </c>
      <c r="AF453" s="117">
        <v>870</v>
      </c>
      <c r="AG453" s="117">
        <v>0</v>
      </c>
      <c r="AH453" s="117">
        <v>0</v>
      </c>
      <c r="AI453" s="117">
        <v>2709.6</v>
      </c>
      <c r="AJ453" s="117">
        <v>0</v>
      </c>
      <c r="AK453" s="117">
        <v>0</v>
      </c>
      <c r="AL453" s="117">
        <v>1833.0900000000001</v>
      </c>
      <c r="AM453" s="117">
        <v>0</v>
      </c>
      <c r="AN453" s="117">
        <v>0</v>
      </c>
      <c r="AO453" s="150"/>
      <c r="AP453" s="117">
        <v>1191.03</v>
      </c>
      <c r="AQ453" s="117">
        <v>0</v>
      </c>
      <c r="AR453" s="117">
        <v>0</v>
      </c>
      <c r="AS453" s="117">
        <v>0</v>
      </c>
      <c r="AT453" s="117">
        <v>0</v>
      </c>
      <c r="AU453" s="117">
        <v>0</v>
      </c>
      <c r="AV453" s="117">
        <v>0</v>
      </c>
      <c r="AW453" s="117">
        <v>0</v>
      </c>
      <c r="AX453" s="117">
        <v>0</v>
      </c>
      <c r="AY453" s="117">
        <v>0</v>
      </c>
      <c r="AZ453" s="117">
        <v>0</v>
      </c>
      <c r="BA453" s="117">
        <v>0</v>
      </c>
    </row>
    <row r="454" spans="1:53" s="138" customFormat="1" outlineLevel="2" x14ac:dyDescent="0.25">
      <c r="A454" s="138" t="s">
        <v>1318</v>
      </c>
      <c r="B454" s="139" t="s">
        <v>1319</v>
      </c>
      <c r="C454" s="140" t="s">
        <v>1320</v>
      </c>
      <c r="D454" s="141"/>
      <c r="E454" s="142"/>
      <c r="F454" s="143">
        <v>0</v>
      </c>
      <c r="G454" s="143">
        <v>0</v>
      </c>
      <c r="H454" s="144">
        <f t="shared" si="120"/>
        <v>0</v>
      </c>
      <c r="I454" s="145">
        <f t="shared" si="121"/>
        <v>0</v>
      </c>
      <c r="J454" s="146"/>
      <c r="K454" s="143">
        <v>0</v>
      </c>
      <c r="L454" s="143">
        <v>0</v>
      </c>
      <c r="M454" s="144">
        <f t="shared" si="122"/>
        <v>0</v>
      </c>
      <c r="N454" s="145">
        <f t="shared" si="123"/>
        <v>0</v>
      </c>
      <c r="O454" s="147"/>
      <c r="P454" s="146"/>
      <c r="Q454" s="143">
        <v>0</v>
      </c>
      <c r="R454" s="143">
        <v>0</v>
      </c>
      <c r="S454" s="144">
        <f t="shared" si="124"/>
        <v>0</v>
      </c>
      <c r="T454" s="145">
        <f t="shared" si="125"/>
        <v>0</v>
      </c>
      <c r="U454" s="146"/>
      <c r="V454" s="143">
        <v>0</v>
      </c>
      <c r="W454" s="143">
        <v>40</v>
      </c>
      <c r="X454" s="144">
        <f t="shared" si="126"/>
        <v>-40</v>
      </c>
      <c r="Y454" s="145" t="str">
        <f t="shared" si="127"/>
        <v>N.M.</v>
      </c>
      <c r="Z454" s="148"/>
      <c r="AA454" s="149">
        <v>0</v>
      </c>
      <c r="AB454" s="150"/>
      <c r="AC454" s="117">
        <v>0</v>
      </c>
      <c r="AD454" s="117">
        <v>0</v>
      </c>
      <c r="AE454" s="117">
        <v>0</v>
      </c>
      <c r="AF454" s="117">
        <v>0</v>
      </c>
      <c r="AG454" s="117">
        <v>0</v>
      </c>
      <c r="AH454" s="117">
        <v>0</v>
      </c>
      <c r="AI454" s="117">
        <v>0</v>
      </c>
      <c r="AJ454" s="117">
        <v>0</v>
      </c>
      <c r="AK454" s="117">
        <v>0</v>
      </c>
      <c r="AL454" s="117">
        <v>0</v>
      </c>
      <c r="AM454" s="117">
        <v>0</v>
      </c>
      <c r="AN454" s="117">
        <v>0</v>
      </c>
      <c r="AO454" s="150"/>
      <c r="AP454" s="117">
        <v>0</v>
      </c>
      <c r="AQ454" s="117">
        <v>0</v>
      </c>
      <c r="AR454" s="117">
        <v>0</v>
      </c>
      <c r="AS454" s="117">
        <v>0</v>
      </c>
      <c r="AT454" s="117">
        <v>0</v>
      </c>
      <c r="AU454" s="117">
        <v>0</v>
      </c>
      <c r="AV454" s="117">
        <v>0</v>
      </c>
      <c r="AW454" s="117">
        <v>0</v>
      </c>
      <c r="AX454" s="117">
        <v>0</v>
      </c>
      <c r="AY454" s="117">
        <v>0</v>
      </c>
      <c r="AZ454" s="117">
        <v>0</v>
      </c>
      <c r="BA454" s="117">
        <v>0</v>
      </c>
    </row>
    <row r="455" spans="1:53" s="138" customFormat="1" outlineLevel="2" x14ac:dyDescent="0.25">
      <c r="A455" s="138" t="s">
        <v>1321</v>
      </c>
      <c r="B455" s="139" t="s">
        <v>1322</v>
      </c>
      <c r="C455" s="140" t="s">
        <v>1320</v>
      </c>
      <c r="D455" s="141"/>
      <c r="E455" s="142"/>
      <c r="F455" s="143">
        <v>0</v>
      </c>
      <c r="G455" s="143">
        <v>0</v>
      </c>
      <c r="H455" s="144">
        <f t="shared" si="120"/>
        <v>0</v>
      </c>
      <c r="I455" s="145">
        <f t="shared" si="121"/>
        <v>0</v>
      </c>
      <c r="J455" s="146"/>
      <c r="K455" s="143">
        <v>0</v>
      </c>
      <c r="L455" s="143">
        <v>52</v>
      </c>
      <c r="M455" s="144">
        <f t="shared" si="122"/>
        <v>-52</v>
      </c>
      <c r="N455" s="145" t="str">
        <f t="shared" si="123"/>
        <v>N.M.</v>
      </c>
      <c r="O455" s="147"/>
      <c r="P455" s="146"/>
      <c r="Q455" s="143">
        <v>0</v>
      </c>
      <c r="R455" s="143">
        <v>52</v>
      </c>
      <c r="S455" s="144">
        <f t="shared" si="124"/>
        <v>-52</v>
      </c>
      <c r="T455" s="145" t="str">
        <f t="shared" si="125"/>
        <v>N.M.</v>
      </c>
      <c r="U455" s="146"/>
      <c r="V455" s="143">
        <v>80</v>
      </c>
      <c r="W455" s="143">
        <v>52</v>
      </c>
      <c r="X455" s="144">
        <f t="shared" si="126"/>
        <v>28</v>
      </c>
      <c r="Y455" s="145">
        <f t="shared" si="127"/>
        <v>0.53846153846153844</v>
      </c>
      <c r="Z455" s="148"/>
      <c r="AA455" s="149">
        <v>0</v>
      </c>
      <c r="AB455" s="150"/>
      <c r="AC455" s="117">
        <v>52</v>
      </c>
      <c r="AD455" s="117">
        <v>0</v>
      </c>
      <c r="AE455" s="117">
        <v>0</v>
      </c>
      <c r="AF455" s="117">
        <v>0</v>
      </c>
      <c r="AG455" s="117">
        <v>0</v>
      </c>
      <c r="AH455" s="117">
        <v>0</v>
      </c>
      <c r="AI455" s="117">
        <v>80</v>
      </c>
      <c r="AJ455" s="117">
        <v>0</v>
      </c>
      <c r="AK455" s="117">
        <v>0</v>
      </c>
      <c r="AL455" s="117">
        <v>0</v>
      </c>
      <c r="AM455" s="117">
        <v>0</v>
      </c>
      <c r="AN455" s="117">
        <v>0</v>
      </c>
      <c r="AO455" s="150"/>
      <c r="AP455" s="117">
        <v>0</v>
      </c>
      <c r="AQ455" s="117">
        <v>0</v>
      </c>
      <c r="AR455" s="117">
        <v>0</v>
      </c>
      <c r="AS455" s="117">
        <v>0</v>
      </c>
      <c r="AT455" s="117">
        <v>0</v>
      </c>
      <c r="AU455" s="117">
        <v>0</v>
      </c>
      <c r="AV455" s="117">
        <v>0</v>
      </c>
      <c r="AW455" s="117">
        <v>0</v>
      </c>
      <c r="AX455" s="117">
        <v>0</v>
      </c>
      <c r="AY455" s="117">
        <v>0</v>
      </c>
      <c r="AZ455" s="117">
        <v>0</v>
      </c>
      <c r="BA455" s="117">
        <v>0</v>
      </c>
    </row>
    <row r="456" spans="1:53" s="138" customFormat="1" outlineLevel="2" x14ac:dyDescent="0.25">
      <c r="A456" s="138" t="s">
        <v>1323</v>
      </c>
      <c r="B456" s="139" t="s">
        <v>1324</v>
      </c>
      <c r="C456" s="140" t="s">
        <v>1325</v>
      </c>
      <c r="D456" s="141"/>
      <c r="E456" s="142"/>
      <c r="F456" s="143">
        <v>0</v>
      </c>
      <c r="G456" s="143">
        <v>0</v>
      </c>
      <c r="H456" s="144">
        <f t="shared" si="120"/>
        <v>0</v>
      </c>
      <c r="I456" s="145">
        <f t="shared" si="121"/>
        <v>0</v>
      </c>
      <c r="J456" s="146"/>
      <c r="K456" s="143">
        <v>0</v>
      </c>
      <c r="L456" s="143">
        <v>0</v>
      </c>
      <c r="M456" s="144">
        <f t="shared" si="122"/>
        <v>0</v>
      </c>
      <c r="N456" s="145">
        <f t="shared" si="123"/>
        <v>0</v>
      </c>
      <c r="O456" s="147"/>
      <c r="P456" s="146"/>
      <c r="Q456" s="143">
        <v>0</v>
      </c>
      <c r="R456" s="143">
        <v>0</v>
      </c>
      <c r="S456" s="144">
        <f t="shared" si="124"/>
        <v>0</v>
      </c>
      <c r="T456" s="145">
        <f t="shared" si="125"/>
        <v>0</v>
      </c>
      <c r="U456" s="146"/>
      <c r="V456" s="143">
        <v>0</v>
      </c>
      <c r="W456" s="143">
        <v>356517.79</v>
      </c>
      <c r="X456" s="144">
        <f t="shared" si="126"/>
        <v>-356517.79</v>
      </c>
      <c r="Y456" s="145" t="str">
        <f t="shared" si="127"/>
        <v>N.M.</v>
      </c>
      <c r="Z456" s="148"/>
      <c r="AA456" s="149">
        <v>0</v>
      </c>
      <c r="AB456" s="150"/>
      <c r="AC456" s="117">
        <v>0</v>
      </c>
      <c r="AD456" s="117">
        <v>0</v>
      </c>
      <c r="AE456" s="117">
        <v>0</v>
      </c>
      <c r="AF456" s="117">
        <v>0</v>
      </c>
      <c r="AG456" s="117">
        <v>0</v>
      </c>
      <c r="AH456" s="117">
        <v>0</v>
      </c>
      <c r="AI456" s="117">
        <v>0</v>
      </c>
      <c r="AJ456" s="117">
        <v>0</v>
      </c>
      <c r="AK456" s="117">
        <v>0</v>
      </c>
      <c r="AL456" s="117">
        <v>0</v>
      </c>
      <c r="AM456" s="117">
        <v>0</v>
      </c>
      <c r="AN456" s="117">
        <v>0</v>
      </c>
      <c r="AO456" s="150"/>
      <c r="AP456" s="117">
        <v>0</v>
      </c>
      <c r="AQ456" s="117">
        <v>0</v>
      </c>
      <c r="AR456" s="117">
        <v>0</v>
      </c>
      <c r="AS456" s="117">
        <v>0</v>
      </c>
      <c r="AT456" s="117">
        <v>0</v>
      </c>
      <c r="AU456" s="117">
        <v>0</v>
      </c>
      <c r="AV456" s="117">
        <v>0</v>
      </c>
      <c r="AW456" s="117">
        <v>0</v>
      </c>
      <c r="AX456" s="117">
        <v>0</v>
      </c>
      <c r="AY456" s="117">
        <v>0</v>
      </c>
      <c r="AZ456" s="117">
        <v>0</v>
      </c>
      <c r="BA456" s="117">
        <v>0</v>
      </c>
    </row>
    <row r="457" spans="1:53" s="138" customFormat="1" outlineLevel="2" x14ac:dyDescent="0.25">
      <c r="A457" s="138" t="s">
        <v>1326</v>
      </c>
      <c r="B457" s="139" t="s">
        <v>1327</v>
      </c>
      <c r="C457" s="140" t="s">
        <v>1325</v>
      </c>
      <c r="D457" s="141"/>
      <c r="E457" s="142"/>
      <c r="F457" s="143">
        <v>0</v>
      </c>
      <c r="G457" s="143">
        <v>94350.26</v>
      </c>
      <c r="H457" s="144">
        <f t="shared" si="120"/>
        <v>-94350.26</v>
      </c>
      <c r="I457" s="145" t="str">
        <f t="shared" si="121"/>
        <v>N.M.</v>
      </c>
      <c r="J457" s="146"/>
      <c r="K457" s="143">
        <v>0</v>
      </c>
      <c r="L457" s="143">
        <v>188700.52</v>
      </c>
      <c r="M457" s="144">
        <f t="shared" si="122"/>
        <v>-188700.52</v>
      </c>
      <c r="N457" s="145" t="str">
        <f t="shared" si="123"/>
        <v>N.M.</v>
      </c>
      <c r="O457" s="147"/>
      <c r="P457" s="146"/>
      <c r="Q457" s="143">
        <v>0</v>
      </c>
      <c r="R457" s="143">
        <v>283050.77999999997</v>
      </c>
      <c r="S457" s="144">
        <f t="shared" si="124"/>
        <v>-283050.77999999997</v>
      </c>
      <c r="T457" s="145" t="str">
        <f t="shared" si="125"/>
        <v>N.M.</v>
      </c>
      <c r="U457" s="146"/>
      <c r="V457" s="143">
        <v>377401.04</v>
      </c>
      <c r="W457" s="143">
        <v>754802.08000000007</v>
      </c>
      <c r="X457" s="144">
        <f t="shared" si="126"/>
        <v>-377401.0400000001</v>
      </c>
      <c r="Y457" s="145">
        <f t="shared" si="127"/>
        <v>-0.50000000000000011</v>
      </c>
      <c r="Z457" s="148"/>
      <c r="AA457" s="149">
        <v>94350.26</v>
      </c>
      <c r="AB457" s="150"/>
      <c r="AC457" s="117">
        <v>94350.26</v>
      </c>
      <c r="AD457" s="117">
        <v>94350.26</v>
      </c>
      <c r="AE457" s="117">
        <v>94350.26</v>
      </c>
      <c r="AF457" s="117">
        <v>94350.26</v>
      </c>
      <c r="AG457" s="117">
        <v>94350.26</v>
      </c>
      <c r="AH457" s="117">
        <v>94350.26</v>
      </c>
      <c r="AI457" s="117">
        <v>0</v>
      </c>
      <c r="AJ457" s="117">
        <v>0</v>
      </c>
      <c r="AK457" s="117">
        <v>0</v>
      </c>
      <c r="AL457" s="117">
        <v>0</v>
      </c>
      <c r="AM457" s="117">
        <v>0</v>
      </c>
      <c r="AN457" s="117">
        <v>0</v>
      </c>
      <c r="AO457" s="150"/>
      <c r="AP457" s="117">
        <v>0</v>
      </c>
      <c r="AQ457" s="117">
        <v>0</v>
      </c>
      <c r="AR457" s="117">
        <v>0</v>
      </c>
      <c r="AS457" s="117">
        <v>0</v>
      </c>
      <c r="AT457" s="117">
        <v>0</v>
      </c>
      <c r="AU457" s="117">
        <v>0</v>
      </c>
      <c r="AV457" s="117">
        <v>0</v>
      </c>
      <c r="AW457" s="117">
        <v>0</v>
      </c>
      <c r="AX457" s="117">
        <v>0</v>
      </c>
      <c r="AY457" s="117">
        <v>0</v>
      </c>
      <c r="AZ457" s="117">
        <v>0</v>
      </c>
      <c r="BA457" s="117">
        <v>0</v>
      </c>
    </row>
    <row r="458" spans="1:53" s="138" customFormat="1" outlineLevel="2" x14ac:dyDescent="0.25">
      <c r="A458" s="138" t="s">
        <v>1328</v>
      </c>
      <c r="B458" s="139" t="s">
        <v>1329</v>
      </c>
      <c r="C458" s="140" t="s">
        <v>1325</v>
      </c>
      <c r="D458" s="141"/>
      <c r="E458" s="142"/>
      <c r="F458" s="143">
        <v>93899.94</v>
      </c>
      <c r="G458" s="143">
        <v>0</v>
      </c>
      <c r="H458" s="144">
        <f t="shared" si="120"/>
        <v>93899.94</v>
      </c>
      <c r="I458" s="145" t="str">
        <f t="shared" si="121"/>
        <v>N.M.</v>
      </c>
      <c r="J458" s="146"/>
      <c r="K458" s="143">
        <v>187799.88</v>
      </c>
      <c r="L458" s="143">
        <v>0</v>
      </c>
      <c r="M458" s="144">
        <f t="shared" si="122"/>
        <v>187799.88</v>
      </c>
      <c r="N458" s="145" t="str">
        <f t="shared" si="123"/>
        <v>N.M.</v>
      </c>
      <c r="O458" s="147"/>
      <c r="P458" s="146"/>
      <c r="Q458" s="143">
        <v>281699.82</v>
      </c>
      <c r="R458" s="143">
        <v>0</v>
      </c>
      <c r="S458" s="144">
        <f t="shared" si="124"/>
        <v>281699.82</v>
      </c>
      <c r="T458" s="145" t="str">
        <f t="shared" si="125"/>
        <v>N.M.</v>
      </c>
      <c r="U458" s="146"/>
      <c r="V458" s="143">
        <v>751199.52</v>
      </c>
      <c r="W458" s="143">
        <v>0</v>
      </c>
      <c r="X458" s="144">
        <f t="shared" si="126"/>
        <v>751199.52</v>
      </c>
      <c r="Y458" s="145" t="str">
        <f t="shared" si="127"/>
        <v>N.M.</v>
      </c>
      <c r="Z458" s="148"/>
      <c r="AA458" s="149">
        <v>0</v>
      </c>
      <c r="AB458" s="150"/>
      <c r="AC458" s="117">
        <v>0</v>
      </c>
      <c r="AD458" s="117">
        <v>0</v>
      </c>
      <c r="AE458" s="117">
        <v>0</v>
      </c>
      <c r="AF458" s="117">
        <v>0</v>
      </c>
      <c r="AG458" s="117">
        <v>0</v>
      </c>
      <c r="AH458" s="117">
        <v>0</v>
      </c>
      <c r="AI458" s="117">
        <v>93899.94</v>
      </c>
      <c r="AJ458" s="117">
        <v>93899.94</v>
      </c>
      <c r="AK458" s="117">
        <v>93899.94</v>
      </c>
      <c r="AL458" s="117">
        <v>93899.94</v>
      </c>
      <c r="AM458" s="117">
        <v>93899.94</v>
      </c>
      <c r="AN458" s="117">
        <v>93899.94</v>
      </c>
      <c r="AO458" s="150"/>
      <c r="AP458" s="117">
        <v>93899.94</v>
      </c>
      <c r="AQ458" s="117">
        <v>93899.94</v>
      </c>
      <c r="AR458" s="117">
        <v>0</v>
      </c>
      <c r="AS458" s="117">
        <v>0</v>
      </c>
      <c r="AT458" s="117">
        <v>0</v>
      </c>
      <c r="AU458" s="117">
        <v>0</v>
      </c>
      <c r="AV458" s="117">
        <v>0</v>
      </c>
      <c r="AW458" s="117">
        <v>0</v>
      </c>
      <c r="AX458" s="117">
        <v>0</v>
      </c>
      <c r="AY458" s="117">
        <v>0</v>
      </c>
      <c r="AZ458" s="117">
        <v>0</v>
      </c>
      <c r="BA458" s="117">
        <v>0</v>
      </c>
    </row>
    <row r="459" spans="1:53" s="138" customFormat="1" outlineLevel="2" x14ac:dyDescent="0.25">
      <c r="A459" s="138" t="s">
        <v>1330</v>
      </c>
      <c r="B459" s="139" t="s">
        <v>1331</v>
      </c>
      <c r="C459" s="140" t="s">
        <v>1332</v>
      </c>
      <c r="D459" s="141"/>
      <c r="E459" s="142"/>
      <c r="F459" s="143">
        <v>0</v>
      </c>
      <c r="G459" s="143">
        <v>0</v>
      </c>
      <c r="H459" s="144">
        <f t="shared" si="120"/>
        <v>0</v>
      </c>
      <c r="I459" s="145">
        <f t="shared" si="121"/>
        <v>0</v>
      </c>
      <c r="J459" s="146"/>
      <c r="K459" s="143">
        <v>0</v>
      </c>
      <c r="L459" s="143">
        <v>0</v>
      </c>
      <c r="M459" s="144">
        <f t="shared" si="122"/>
        <v>0</v>
      </c>
      <c r="N459" s="145">
        <f t="shared" si="123"/>
        <v>0</v>
      </c>
      <c r="O459" s="147"/>
      <c r="P459" s="146"/>
      <c r="Q459" s="143">
        <v>0</v>
      </c>
      <c r="R459" s="143">
        <v>0</v>
      </c>
      <c r="S459" s="144">
        <f t="shared" si="124"/>
        <v>0</v>
      </c>
      <c r="T459" s="145">
        <f t="shared" si="125"/>
        <v>0</v>
      </c>
      <c r="U459" s="146"/>
      <c r="V459" s="143">
        <v>0</v>
      </c>
      <c r="W459" s="143">
        <v>0</v>
      </c>
      <c r="X459" s="144">
        <f t="shared" si="126"/>
        <v>0</v>
      </c>
      <c r="Y459" s="145">
        <f t="shared" si="127"/>
        <v>0</v>
      </c>
      <c r="Z459" s="148"/>
      <c r="AA459" s="149">
        <v>0</v>
      </c>
      <c r="AB459" s="150"/>
      <c r="AC459" s="117">
        <v>0</v>
      </c>
      <c r="AD459" s="117">
        <v>0</v>
      </c>
      <c r="AE459" s="117">
        <v>0</v>
      </c>
      <c r="AF459" s="117">
        <v>0</v>
      </c>
      <c r="AG459" s="117">
        <v>0</v>
      </c>
      <c r="AH459" s="117">
        <v>0</v>
      </c>
      <c r="AI459" s="117">
        <v>0</v>
      </c>
      <c r="AJ459" s="117">
        <v>0</v>
      </c>
      <c r="AK459" s="117">
        <v>0</v>
      </c>
      <c r="AL459" s="117">
        <v>0</v>
      </c>
      <c r="AM459" s="117">
        <v>0</v>
      </c>
      <c r="AN459" s="117">
        <v>0</v>
      </c>
      <c r="AO459" s="150"/>
      <c r="AP459" s="117">
        <v>0</v>
      </c>
      <c r="AQ459" s="117">
        <v>0</v>
      </c>
      <c r="AR459" s="117">
        <v>0</v>
      </c>
      <c r="AS459" s="117">
        <v>0</v>
      </c>
      <c r="AT459" s="117">
        <v>0</v>
      </c>
      <c r="AU459" s="117">
        <v>0</v>
      </c>
      <c r="AV459" s="117">
        <v>0</v>
      </c>
      <c r="AW459" s="117">
        <v>0</v>
      </c>
      <c r="AX459" s="117">
        <v>0</v>
      </c>
      <c r="AY459" s="117">
        <v>0</v>
      </c>
      <c r="AZ459" s="117">
        <v>0</v>
      </c>
      <c r="BA459" s="117">
        <v>0</v>
      </c>
    </row>
    <row r="460" spans="1:53" s="138" customFormat="1" outlineLevel="2" x14ac:dyDescent="0.25">
      <c r="A460" s="138" t="s">
        <v>1333</v>
      </c>
      <c r="B460" s="139" t="s">
        <v>1334</v>
      </c>
      <c r="C460" s="140" t="s">
        <v>1332</v>
      </c>
      <c r="D460" s="141"/>
      <c r="E460" s="142"/>
      <c r="F460" s="143">
        <v>0</v>
      </c>
      <c r="G460" s="143">
        <v>0</v>
      </c>
      <c r="H460" s="144">
        <f t="shared" si="120"/>
        <v>0</v>
      </c>
      <c r="I460" s="145">
        <f t="shared" si="121"/>
        <v>0</v>
      </c>
      <c r="J460" s="146"/>
      <c r="K460" s="143">
        <v>0</v>
      </c>
      <c r="L460" s="143">
        <v>790.57</v>
      </c>
      <c r="M460" s="144">
        <f t="shared" si="122"/>
        <v>-790.57</v>
      </c>
      <c r="N460" s="145" t="str">
        <f t="shared" si="123"/>
        <v>N.M.</v>
      </c>
      <c r="O460" s="147"/>
      <c r="P460" s="146"/>
      <c r="Q460" s="143">
        <v>0</v>
      </c>
      <c r="R460" s="143">
        <v>1483.93</v>
      </c>
      <c r="S460" s="144">
        <f t="shared" si="124"/>
        <v>-1483.93</v>
      </c>
      <c r="T460" s="145" t="str">
        <f t="shared" si="125"/>
        <v>N.M.</v>
      </c>
      <c r="U460" s="146"/>
      <c r="V460" s="143">
        <v>0</v>
      </c>
      <c r="W460" s="143">
        <v>10596.039999999999</v>
      </c>
      <c r="X460" s="144">
        <f t="shared" si="126"/>
        <v>-10596.039999999999</v>
      </c>
      <c r="Y460" s="145" t="str">
        <f t="shared" si="127"/>
        <v>N.M.</v>
      </c>
      <c r="Z460" s="148"/>
      <c r="AA460" s="149">
        <v>693.36</v>
      </c>
      <c r="AB460" s="150"/>
      <c r="AC460" s="117">
        <v>790.57</v>
      </c>
      <c r="AD460" s="117">
        <v>0</v>
      </c>
      <c r="AE460" s="117">
        <v>0</v>
      </c>
      <c r="AF460" s="117">
        <v>0</v>
      </c>
      <c r="AG460" s="117">
        <v>0</v>
      </c>
      <c r="AH460" s="117">
        <v>0</v>
      </c>
      <c r="AI460" s="117">
        <v>0</v>
      </c>
      <c r="AJ460" s="117">
        <v>0</v>
      </c>
      <c r="AK460" s="117">
        <v>0</v>
      </c>
      <c r="AL460" s="117">
        <v>0</v>
      </c>
      <c r="AM460" s="117">
        <v>0</v>
      </c>
      <c r="AN460" s="117">
        <v>0</v>
      </c>
      <c r="AO460" s="150"/>
      <c r="AP460" s="117">
        <v>0</v>
      </c>
      <c r="AQ460" s="117">
        <v>0</v>
      </c>
      <c r="AR460" s="117">
        <v>0</v>
      </c>
      <c r="AS460" s="117">
        <v>0</v>
      </c>
      <c r="AT460" s="117">
        <v>0</v>
      </c>
      <c r="AU460" s="117">
        <v>0</v>
      </c>
      <c r="AV460" s="117">
        <v>0</v>
      </c>
      <c r="AW460" s="117">
        <v>0</v>
      </c>
      <c r="AX460" s="117">
        <v>0</v>
      </c>
      <c r="AY460" s="117">
        <v>0</v>
      </c>
      <c r="AZ460" s="117">
        <v>0</v>
      </c>
      <c r="BA460" s="117">
        <v>0</v>
      </c>
    </row>
    <row r="461" spans="1:53" s="138" customFormat="1" outlineLevel="2" x14ac:dyDescent="0.25">
      <c r="A461" s="138" t="s">
        <v>1335</v>
      </c>
      <c r="B461" s="139" t="s">
        <v>1336</v>
      </c>
      <c r="C461" s="140" t="s">
        <v>1332</v>
      </c>
      <c r="D461" s="141"/>
      <c r="E461" s="142"/>
      <c r="F461" s="143">
        <v>0</v>
      </c>
      <c r="G461" s="143">
        <v>1166.2</v>
      </c>
      <c r="H461" s="144">
        <f t="shared" si="120"/>
        <v>-1166.2</v>
      </c>
      <c r="I461" s="145" t="str">
        <f t="shared" si="121"/>
        <v>N.M.</v>
      </c>
      <c r="J461" s="146"/>
      <c r="K461" s="143">
        <v>1420.72</v>
      </c>
      <c r="L461" s="143">
        <v>1166.2</v>
      </c>
      <c r="M461" s="144">
        <f t="shared" si="122"/>
        <v>254.51999999999998</v>
      </c>
      <c r="N461" s="145">
        <f t="shared" si="123"/>
        <v>0.21824729891956779</v>
      </c>
      <c r="O461" s="147"/>
      <c r="P461" s="146"/>
      <c r="Q461" s="143">
        <v>2399.34</v>
      </c>
      <c r="R461" s="143">
        <v>1166.2</v>
      </c>
      <c r="S461" s="144">
        <f t="shared" si="124"/>
        <v>1233.1400000000001</v>
      </c>
      <c r="T461" s="145">
        <f t="shared" si="125"/>
        <v>1.0574001028983022</v>
      </c>
      <c r="U461" s="146"/>
      <c r="V461" s="143">
        <v>10041.379999999999</v>
      </c>
      <c r="W461" s="143">
        <v>1166.2</v>
      </c>
      <c r="X461" s="144">
        <f t="shared" si="126"/>
        <v>8875.1799999999985</v>
      </c>
      <c r="Y461" s="145">
        <f t="shared" si="127"/>
        <v>7.6103412793688889</v>
      </c>
      <c r="Z461" s="148"/>
      <c r="AA461" s="149">
        <v>0</v>
      </c>
      <c r="AB461" s="150"/>
      <c r="AC461" s="117">
        <v>0</v>
      </c>
      <c r="AD461" s="117">
        <v>1166.2</v>
      </c>
      <c r="AE461" s="117">
        <v>1170.04</v>
      </c>
      <c r="AF461" s="117">
        <v>1031.0899999999999</v>
      </c>
      <c r="AG461" s="117">
        <v>787.86</v>
      </c>
      <c r="AH461" s="117">
        <v>653.52</v>
      </c>
      <c r="AI461" s="117">
        <v>665.9</v>
      </c>
      <c r="AJ461" s="117">
        <v>844.37</v>
      </c>
      <c r="AK461" s="117">
        <v>834.07</v>
      </c>
      <c r="AL461" s="117">
        <v>839.67000000000007</v>
      </c>
      <c r="AM461" s="117">
        <v>815.52</v>
      </c>
      <c r="AN461" s="117">
        <v>978.62</v>
      </c>
      <c r="AO461" s="150"/>
      <c r="AP461" s="117">
        <v>1420.72</v>
      </c>
      <c r="AQ461" s="117">
        <v>0</v>
      </c>
      <c r="AR461" s="117">
        <v>0</v>
      </c>
      <c r="AS461" s="117">
        <v>0</v>
      </c>
      <c r="AT461" s="117">
        <v>0</v>
      </c>
      <c r="AU461" s="117">
        <v>0</v>
      </c>
      <c r="AV461" s="117">
        <v>0</v>
      </c>
      <c r="AW461" s="117">
        <v>0</v>
      </c>
      <c r="AX461" s="117">
        <v>0</v>
      </c>
      <c r="AY461" s="117">
        <v>0</v>
      </c>
      <c r="AZ461" s="117">
        <v>0</v>
      </c>
      <c r="BA461" s="117">
        <v>0</v>
      </c>
    </row>
    <row r="462" spans="1:53" s="138" customFormat="1" outlineLevel="2" x14ac:dyDescent="0.25">
      <c r="A462" s="138" t="s">
        <v>1337</v>
      </c>
      <c r="B462" s="139" t="s">
        <v>1338</v>
      </c>
      <c r="C462" s="140" t="s">
        <v>1332</v>
      </c>
      <c r="D462" s="141"/>
      <c r="E462" s="142"/>
      <c r="F462" s="143">
        <v>1608.31</v>
      </c>
      <c r="G462" s="143">
        <v>0</v>
      </c>
      <c r="H462" s="144">
        <f t="shared" si="120"/>
        <v>1608.31</v>
      </c>
      <c r="I462" s="145" t="str">
        <f t="shared" si="121"/>
        <v>N.M.</v>
      </c>
      <c r="J462" s="146"/>
      <c r="K462" s="143">
        <v>1608.31</v>
      </c>
      <c r="L462" s="143">
        <v>0</v>
      </c>
      <c r="M462" s="144">
        <f t="shared" si="122"/>
        <v>1608.31</v>
      </c>
      <c r="N462" s="145" t="str">
        <f t="shared" si="123"/>
        <v>N.M.</v>
      </c>
      <c r="O462" s="147"/>
      <c r="P462" s="146"/>
      <c r="Q462" s="143">
        <v>1608.31</v>
      </c>
      <c r="R462" s="143">
        <v>0</v>
      </c>
      <c r="S462" s="144">
        <f t="shared" si="124"/>
        <v>1608.31</v>
      </c>
      <c r="T462" s="145" t="str">
        <f t="shared" si="125"/>
        <v>N.M.</v>
      </c>
      <c r="U462" s="146"/>
      <c r="V462" s="143">
        <v>1608.31</v>
      </c>
      <c r="W462" s="143">
        <v>0</v>
      </c>
      <c r="X462" s="144">
        <f t="shared" si="126"/>
        <v>1608.31</v>
      </c>
      <c r="Y462" s="145" t="str">
        <f t="shared" si="127"/>
        <v>N.M.</v>
      </c>
      <c r="Z462" s="148"/>
      <c r="AA462" s="149">
        <v>0</v>
      </c>
      <c r="AB462" s="150"/>
      <c r="AC462" s="117">
        <v>0</v>
      </c>
      <c r="AD462" s="117">
        <v>0</v>
      </c>
      <c r="AE462" s="117">
        <v>0</v>
      </c>
      <c r="AF462" s="117">
        <v>0</v>
      </c>
      <c r="AG462" s="117">
        <v>0</v>
      </c>
      <c r="AH462" s="117">
        <v>0</v>
      </c>
      <c r="AI462" s="117">
        <v>0</v>
      </c>
      <c r="AJ462" s="117">
        <v>0</v>
      </c>
      <c r="AK462" s="117">
        <v>0</v>
      </c>
      <c r="AL462" s="117">
        <v>0</v>
      </c>
      <c r="AM462" s="117">
        <v>0</v>
      </c>
      <c r="AN462" s="117">
        <v>0</v>
      </c>
      <c r="AO462" s="150"/>
      <c r="AP462" s="117">
        <v>0</v>
      </c>
      <c r="AQ462" s="117">
        <v>1608.31</v>
      </c>
      <c r="AR462" s="117">
        <v>0</v>
      </c>
      <c r="AS462" s="117">
        <v>0</v>
      </c>
      <c r="AT462" s="117">
        <v>0</v>
      </c>
      <c r="AU462" s="117">
        <v>0</v>
      </c>
      <c r="AV462" s="117">
        <v>0</v>
      </c>
      <c r="AW462" s="117">
        <v>0</v>
      </c>
      <c r="AX462" s="117">
        <v>0</v>
      </c>
      <c r="AY462" s="117">
        <v>0</v>
      </c>
      <c r="AZ462" s="117">
        <v>0</v>
      </c>
      <c r="BA462" s="117">
        <v>0</v>
      </c>
    </row>
    <row r="463" spans="1:53" s="138" customFormat="1" outlineLevel="2" x14ac:dyDescent="0.25">
      <c r="A463" s="138" t="s">
        <v>1339</v>
      </c>
      <c r="B463" s="139" t="s">
        <v>1340</v>
      </c>
      <c r="C463" s="140" t="s">
        <v>1341</v>
      </c>
      <c r="D463" s="141"/>
      <c r="E463" s="142"/>
      <c r="F463" s="143">
        <v>0</v>
      </c>
      <c r="G463" s="143">
        <v>0</v>
      </c>
      <c r="H463" s="144">
        <f t="shared" si="120"/>
        <v>0</v>
      </c>
      <c r="I463" s="145">
        <f t="shared" si="121"/>
        <v>0</v>
      </c>
      <c r="J463" s="146"/>
      <c r="K463" s="143">
        <v>0</v>
      </c>
      <c r="L463" s="143">
        <v>0</v>
      </c>
      <c r="M463" s="144">
        <f t="shared" si="122"/>
        <v>0</v>
      </c>
      <c r="N463" s="145">
        <f t="shared" si="123"/>
        <v>0</v>
      </c>
      <c r="O463" s="147"/>
      <c r="P463" s="146"/>
      <c r="Q463" s="143">
        <v>0</v>
      </c>
      <c r="R463" s="143">
        <v>0</v>
      </c>
      <c r="S463" s="144">
        <f t="shared" si="124"/>
        <v>0</v>
      </c>
      <c r="T463" s="145">
        <f t="shared" si="125"/>
        <v>0</v>
      </c>
      <c r="U463" s="146"/>
      <c r="V463" s="143">
        <v>0</v>
      </c>
      <c r="W463" s="143">
        <v>0</v>
      </c>
      <c r="X463" s="144">
        <f t="shared" si="126"/>
        <v>0</v>
      </c>
      <c r="Y463" s="145">
        <f t="shared" si="127"/>
        <v>0</v>
      </c>
      <c r="Z463" s="148"/>
      <c r="AA463" s="149">
        <v>0</v>
      </c>
      <c r="AB463" s="150"/>
      <c r="AC463" s="117">
        <v>0</v>
      </c>
      <c r="AD463" s="117">
        <v>0</v>
      </c>
      <c r="AE463" s="117">
        <v>0</v>
      </c>
      <c r="AF463" s="117">
        <v>0</v>
      </c>
      <c r="AG463" s="117">
        <v>0</v>
      </c>
      <c r="AH463" s="117">
        <v>0</v>
      </c>
      <c r="AI463" s="117">
        <v>0</v>
      </c>
      <c r="AJ463" s="117">
        <v>0</v>
      </c>
      <c r="AK463" s="117">
        <v>0</v>
      </c>
      <c r="AL463" s="117">
        <v>0</v>
      </c>
      <c r="AM463" s="117">
        <v>0</v>
      </c>
      <c r="AN463" s="117">
        <v>0</v>
      </c>
      <c r="AO463" s="150"/>
      <c r="AP463" s="117">
        <v>0</v>
      </c>
      <c r="AQ463" s="117">
        <v>0</v>
      </c>
      <c r="AR463" s="117">
        <v>0</v>
      </c>
      <c r="AS463" s="117">
        <v>0</v>
      </c>
      <c r="AT463" s="117">
        <v>0</v>
      </c>
      <c r="AU463" s="117">
        <v>0</v>
      </c>
      <c r="AV463" s="117">
        <v>0</v>
      </c>
      <c r="AW463" s="117">
        <v>0</v>
      </c>
      <c r="AX463" s="117">
        <v>0</v>
      </c>
      <c r="AY463" s="117">
        <v>0</v>
      </c>
      <c r="AZ463" s="117">
        <v>0</v>
      </c>
      <c r="BA463" s="117">
        <v>0</v>
      </c>
    </row>
    <row r="464" spans="1:53" s="138" customFormat="1" outlineLevel="2" x14ac:dyDescent="0.25">
      <c r="A464" s="138" t="s">
        <v>1342</v>
      </c>
      <c r="B464" s="139" t="s">
        <v>1343</v>
      </c>
      <c r="C464" s="140" t="s">
        <v>1341</v>
      </c>
      <c r="D464" s="141"/>
      <c r="E464" s="142"/>
      <c r="F464" s="143">
        <v>0</v>
      </c>
      <c r="G464" s="143">
        <v>0</v>
      </c>
      <c r="H464" s="144">
        <f t="shared" si="120"/>
        <v>0</v>
      </c>
      <c r="I464" s="145">
        <f t="shared" si="121"/>
        <v>0</v>
      </c>
      <c r="J464" s="146"/>
      <c r="K464" s="143">
        <v>0</v>
      </c>
      <c r="L464" s="143">
        <v>0</v>
      </c>
      <c r="M464" s="144">
        <f t="shared" si="122"/>
        <v>0</v>
      </c>
      <c r="N464" s="145">
        <f t="shared" si="123"/>
        <v>0</v>
      </c>
      <c r="O464" s="147"/>
      <c r="P464" s="146"/>
      <c r="Q464" s="143">
        <v>0</v>
      </c>
      <c r="R464" s="143">
        <v>329449.67</v>
      </c>
      <c r="S464" s="144">
        <f t="shared" si="124"/>
        <v>-329449.67</v>
      </c>
      <c r="T464" s="145" t="str">
        <f t="shared" si="125"/>
        <v>N.M.</v>
      </c>
      <c r="U464" s="146"/>
      <c r="V464" s="143">
        <v>0</v>
      </c>
      <c r="W464" s="143">
        <v>3301407.44</v>
      </c>
      <c r="X464" s="144">
        <f t="shared" si="126"/>
        <v>-3301407.44</v>
      </c>
      <c r="Y464" s="145" t="str">
        <f t="shared" si="127"/>
        <v>N.M.</v>
      </c>
      <c r="Z464" s="148"/>
      <c r="AA464" s="149">
        <v>329449.67</v>
      </c>
      <c r="AB464" s="150"/>
      <c r="AC464" s="117">
        <v>0</v>
      </c>
      <c r="AD464" s="117">
        <v>0</v>
      </c>
      <c r="AE464" s="117">
        <v>0</v>
      </c>
      <c r="AF464" s="117">
        <v>0</v>
      </c>
      <c r="AG464" s="117">
        <v>0</v>
      </c>
      <c r="AH464" s="117">
        <v>0</v>
      </c>
      <c r="AI464" s="117">
        <v>0</v>
      </c>
      <c r="AJ464" s="117">
        <v>0</v>
      </c>
      <c r="AK464" s="117">
        <v>0</v>
      </c>
      <c r="AL464" s="117">
        <v>0</v>
      </c>
      <c r="AM464" s="117">
        <v>0</v>
      </c>
      <c r="AN464" s="117">
        <v>0</v>
      </c>
      <c r="AO464" s="150"/>
      <c r="AP464" s="117">
        <v>0</v>
      </c>
      <c r="AQ464" s="117">
        <v>0</v>
      </c>
      <c r="AR464" s="117">
        <v>0</v>
      </c>
      <c r="AS464" s="117">
        <v>0</v>
      </c>
      <c r="AT464" s="117">
        <v>0</v>
      </c>
      <c r="AU464" s="117">
        <v>0</v>
      </c>
      <c r="AV464" s="117">
        <v>0</v>
      </c>
      <c r="AW464" s="117">
        <v>0</v>
      </c>
      <c r="AX464" s="117">
        <v>0</v>
      </c>
      <c r="AY464" s="117">
        <v>0</v>
      </c>
      <c r="AZ464" s="117">
        <v>0</v>
      </c>
      <c r="BA464" s="117">
        <v>0</v>
      </c>
    </row>
    <row r="465" spans="1:53" s="138" customFormat="1" outlineLevel="2" x14ac:dyDescent="0.25">
      <c r="A465" s="138" t="s">
        <v>1344</v>
      </c>
      <c r="B465" s="139" t="s">
        <v>1345</v>
      </c>
      <c r="C465" s="140" t="s">
        <v>1341</v>
      </c>
      <c r="D465" s="141"/>
      <c r="E465" s="142"/>
      <c r="F465" s="143">
        <v>0</v>
      </c>
      <c r="G465" s="143">
        <v>330217.53000000003</v>
      </c>
      <c r="H465" s="144">
        <f t="shared" si="120"/>
        <v>-330217.53000000003</v>
      </c>
      <c r="I465" s="145" t="str">
        <f t="shared" si="121"/>
        <v>N.M.</v>
      </c>
      <c r="J465" s="146"/>
      <c r="K465" s="143">
        <v>-0.5</v>
      </c>
      <c r="L465" s="143">
        <v>660435.06000000006</v>
      </c>
      <c r="M465" s="144">
        <f t="shared" si="122"/>
        <v>-660435.56000000006</v>
      </c>
      <c r="N465" s="145">
        <f t="shared" si="123"/>
        <v>-1.0000007570767064</v>
      </c>
      <c r="O465" s="147"/>
      <c r="P465" s="146"/>
      <c r="Q465" s="143">
        <v>329449.17</v>
      </c>
      <c r="R465" s="143">
        <v>660435.06000000006</v>
      </c>
      <c r="S465" s="144">
        <f t="shared" si="124"/>
        <v>-330985.89000000007</v>
      </c>
      <c r="T465" s="145">
        <f t="shared" si="125"/>
        <v>-0.50116341491622207</v>
      </c>
      <c r="U465" s="146"/>
      <c r="V465" s="143">
        <v>3301406.94</v>
      </c>
      <c r="W465" s="143">
        <v>660435.06000000006</v>
      </c>
      <c r="X465" s="144">
        <f t="shared" si="126"/>
        <v>2640971.88</v>
      </c>
      <c r="Y465" s="145">
        <f t="shared" si="127"/>
        <v>3.9988365850837773</v>
      </c>
      <c r="Z465" s="148"/>
      <c r="AA465" s="149">
        <v>0</v>
      </c>
      <c r="AB465" s="150"/>
      <c r="AC465" s="117">
        <v>330217.53000000003</v>
      </c>
      <c r="AD465" s="117">
        <v>330217.53000000003</v>
      </c>
      <c r="AE465" s="117">
        <v>330217.53000000003</v>
      </c>
      <c r="AF465" s="117">
        <v>330217.53000000003</v>
      </c>
      <c r="AG465" s="117">
        <v>330217.53000000003</v>
      </c>
      <c r="AH465" s="117">
        <v>330217.53000000003</v>
      </c>
      <c r="AI465" s="117">
        <v>330217.53000000003</v>
      </c>
      <c r="AJ465" s="117">
        <v>330217.53000000003</v>
      </c>
      <c r="AK465" s="117">
        <v>330217.53000000003</v>
      </c>
      <c r="AL465" s="117">
        <v>330217.53000000003</v>
      </c>
      <c r="AM465" s="117">
        <v>330217.53000000003</v>
      </c>
      <c r="AN465" s="117">
        <v>329449.67</v>
      </c>
      <c r="AO465" s="150"/>
      <c r="AP465" s="117">
        <v>-0.5</v>
      </c>
      <c r="AQ465" s="117">
        <v>0</v>
      </c>
      <c r="AR465" s="117">
        <v>0</v>
      </c>
      <c r="AS465" s="117">
        <v>0</v>
      </c>
      <c r="AT465" s="117">
        <v>0</v>
      </c>
      <c r="AU465" s="117">
        <v>0</v>
      </c>
      <c r="AV465" s="117">
        <v>0</v>
      </c>
      <c r="AW465" s="117">
        <v>0</v>
      </c>
      <c r="AX465" s="117">
        <v>0</v>
      </c>
      <c r="AY465" s="117">
        <v>0</v>
      </c>
      <c r="AZ465" s="117">
        <v>0</v>
      </c>
      <c r="BA465" s="117">
        <v>0</v>
      </c>
    </row>
    <row r="466" spans="1:53" s="138" customFormat="1" outlineLevel="2" x14ac:dyDescent="0.25">
      <c r="A466" s="138" t="s">
        <v>1346</v>
      </c>
      <c r="B466" s="139" t="s">
        <v>1347</v>
      </c>
      <c r="C466" s="140" t="s">
        <v>1341</v>
      </c>
      <c r="D466" s="141"/>
      <c r="E466" s="142"/>
      <c r="F466" s="143">
        <v>483167.53</v>
      </c>
      <c r="G466" s="143">
        <v>0</v>
      </c>
      <c r="H466" s="144">
        <f t="shared" si="120"/>
        <v>483167.53</v>
      </c>
      <c r="I466" s="145" t="str">
        <f t="shared" si="121"/>
        <v>N.M.</v>
      </c>
      <c r="J466" s="146"/>
      <c r="K466" s="143">
        <v>966335.06</v>
      </c>
      <c r="L466" s="143">
        <v>0</v>
      </c>
      <c r="M466" s="144">
        <f t="shared" si="122"/>
        <v>966335.06</v>
      </c>
      <c r="N466" s="145" t="str">
        <f t="shared" si="123"/>
        <v>N.M.</v>
      </c>
      <c r="O466" s="147"/>
      <c r="P466" s="146"/>
      <c r="Q466" s="143">
        <v>966335.06</v>
      </c>
      <c r="R466" s="143">
        <v>0</v>
      </c>
      <c r="S466" s="144">
        <f t="shared" si="124"/>
        <v>966335.06</v>
      </c>
      <c r="T466" s="145" t="str">
        <f t="shared" si="125"/>
        <v>N.M.</v>
      </c>
      <c r="U466" s="146"/>
      <c r="V466" s="143">
        <v>966335.06</v>
      </c>
      <c r="W466" s="143">
        <v>0</v>
      </c>
      <c r="X466" s="144">
        <f t="shared" si="126"/>
        <v>966335.06</v>
      </c>
      <c r="Y466" s="145" t="str">
        <f t="shared" si="127"/>
        <v>N.M.</v>
      </c>
      <c r="Z466" s="148"/>
      <c r="AA466" s="149">
        <v>0</v>
      </c>
      <c r="AB466" s="150"/>
      <c r="AC466" s="117">
        <v>0</v>
      </c>
      <c r="AD466" s="117">
        <v>0</v>
      </c>
      <c r="AE466" s="117">
        <v>0</v>
      </c>
      <c r="AF466" s="117">
        <v>0</v>
      </c>
      <c r="AG466" s="117">
        <v>0</v>
      </c>
      <c r="AH466" s="117">
        <v>0</v>
      </c>
      <c r="AI466" s="117">
        <v>0</v>
      </c>
      <c r="AJ466" s="117">
        <v>0</v>
      </c>
      <c r="AK466" s="117">
        <v>0</v>
      </c>
      <c r="AL466" s="117">
        <v>0</v>
      </c>
      <c r="AM466" s="117">
        <v>0</v>
      </c>
      <c r="AN466" s="117">
        <v>0</v>
      </c>
      <c r="AO466" s="150"/>
      <c r="AP466" s="117">
        <v>483167.53</v>
      </c>
      <c r="AQ466" s="117">
        <v>483167.53</v>
      </c>
      <c r="AR466" s="117">
        <v>0</v>
      </c>
      <c r="AS466" s="117">
        <v>0</v>
      </c>
      <c r="AT466" s="117">
        <v>0</v>
      </c>
      <c r="AU466" s="117">
        <v>0</v>
      </c>
      <c r="AV466" s="117">
        <v>0</v>
      </c>
      <c r="AW466" s="117">
        <v>0</v>
      </c>
      <c r="AX466" s="117">
        <v>0</v>
      </c>
      <c r="AY466" s="117">
        <v>0</v>
      </c>
      <c r="AZ466" s="117">
        <v>0</v>
      </c>
      <c r="BA466" s="117">
        <v>0</v>
      </c>
    </row>
    <row r="467" spans="1:53" s="138" customFormat="1" outlineLevel="2" x14ac:dyDescent="0.25">
      <c r="A467" s="138" t="s">
        <v>1348</v>
      </c>
      <c r="B467" s="139" t="s">
        <v>1349</v>
      </c>
      <c r="C467" s="140" t="s">
        <v>1350</v>
      </c>
      <c r="D467" s="141"/>
      <c r="E467" s="142"/>
      <c r="F467" s="143">
        <v>0</v>
      </c>
      <c r="G467" s="143">
        <v>0</v>
      </c>
      <c r="H467" s="144">
        <f t="shared" si="120"/>
        <v>0</v>
      </c>
      <c r="I467" s="145">
        <f t="shared" si="121"/>
        <v>0</v>
      </c>
      <c r="J467" s="146"/>
      <c r="K467" s="143">
        <v>0</v>
      </c>
      <c r="L467" s="143">
        <v>0</v>
      </c>
      <c r="M467" s="144">
        <f t="shared" si="122"/>
        <v>0</v>
      </c>
      <c r="N467" s="145">
        <f t="shared" si="123"/>
        <v>0</v>
      </c>
      <c r="O467" s="147"/>
      <c r="P467" s="146"/>
      <c r="Q467" s="143">
        <v>0</v>
      </c>
      <c r="R467" s="143">
        <v>0</v>
      </c>
      <c r="S467" s="144">
        <f t="shared" si="124"/>
        <v>0</v>
      </c>
      <c r="T467" s="145">
        <f t="shared" si="125"/>
        <v>0</v>
      </c>
      <c r="U467" s="146"/>
      <c r="V467" s="143">
        <v>0</v>
      </c>
      <c r="W467" s="143">
        <v>145</v>
      </c>
      <c r="X467" s="144">
        <f t="shared" si="126"/>
        <v>-145</v>
      </c>
      <c r="Y467" s="145" t="str">
        <f t="shared" si="127"/>
        <v>N.M.</v>
      </c>
      <c r="Z467" s="148"/>
      <c r="AA467" s="149">
        <v>0</v>
      </c>
      <c r="AB467" s="150"/>
      <c r="AC467" s="117">
        <v>0</v>
      </c>
      <c r="AD467" s="117">
        <v>0</v>
      </c>
      <c r="AE467" s="117">
        <v>0</v>
      </c>
      <c r="AF467" s="117">
        <v>0</v>
      </c>
      <c r="AG467" s="117">
        <v>0</v>
      </c>
      <c r="AH467" s="117">
        <v>0</v>
      </c>
      <c r="AI467" s="117">
        <v>0</v>
      </c>
      <c r="AJ467" s="117">
        <v>0</v>
      </c>
      <c r="AK467" s="117">
        <v>0</v>
      </c>
      <c r="AL467" s="117">
        <v>0</v>
      </c>
      <c r="AM467" s="117">
        <v>0</v>
      </c>
      <c r="AN467" s="117">
        <v>0</v>
      </c>
      <c r="AO467" s="150"/>
      <c r="AP467" s="117">
        <v>0</v>
      </c>
      <c r="AQ467" s="117">
        <v>0</v>
      </c>
      <c r="AR467" s="117">
        <v>0</v>
      </c>
      <c r="AS467" s="117">
        <v>0</v>
      </c>
      <c r="AT467" s="117">
        <v>0</v>
      </c>
      <c r="AU467" s="117">
        <v>0</v>
      </c>
      <c r="AV467" s="117">
        <v>0</v>
      </c>
      <c r="AW467" s="117">
        <v>0</v>
      </c>
      <c r="AX467" s="117">
        <v>0</v>
      </c>
      <c r="AY467" s="117">
        <v>0</v>
      </c>
      <c r="AZ467" s="117">
        <v>0</v>
      </c>
      <c r="BA467" s="117">
        <v>0</v>
      </c>
    </row>
    <row r="468" spans="1:53" s="138" customFormat="1" outlineLevel="2" x14ac:dyDescent="0.25">
      <c r="A468" s="138" t="s">
        <v>1351</v>
      </c>
      <c r="B468" s="139" t="s">
        <v>1352</v>
      </c>
      <c r="C468" s="140" t="s">
        <v>1350</v>
      </c>
      <c r="D468" s="141"/>
      <c r="E468" s="142"/>
      <c r="F468" s="143">
        <v>0</v>
      </c>
      <c r="G468" s="143">
        <v>100</v>
      </c>
      <c r="H468" s="144">
        <f t="shared" si="120"/>
        <v>-100</v>
      </c>
      <c r="I468" s="145" t="str">
        <f t="shared" si="121"/>
        <v>N.M.</v>
      </c>
      <c r="J468" s="146"/>
      <c r="K468" s="143">
        <v>0</v>
      </c>
      <c r="L468" s="143">
        <v>400</v>
      </c>
      <c r="M468" s="144">
        <f t="shared" si="122"/>
        <v>-400</v>
      </c>
      <c r="N468" s="145" t="str">
        <f t="shared" si="123"/>
        <v>N.M.</v>
      </c>
      <c r="O468" s="147"/>
      <c r="P468" s="146"/>
      <c r="Q468" s="143">
        <v>0</v>
      </c>
      <c r="R468" s="143">
        <v>400</v>
      </c>
      <c r="S468" s="144">
        <f t="shared" si="124"/>
        <v>-400</v>
      </c>
      <c r="T468" s="145" t="str">
        <f t="shared" si="125"/>
        <v>N.M.</v>
      </c>
      <c r="U468" s="146"/>
      <c r="V468" s="143">
        <v>245</v>
      </c>
      <c r="W468" s="143">
        <v>400</v>
      </c>
      <c r="X468" s="144">
        <f t="shared" si="126"/>
        <v>-155</v>
      </c>
      <c r="Y468" s="145">
        <f t="shared" si="127"/>
        <v>-0.38750000000000001</v>
      </c>
      <c r="Z468" s="148"/>
      <c r="AA468" s="149">
        <v>0</v>
      </c>
      <c r="AB468" s="150"/>
      <c r="AC468" s="117">
        <v>300</v>
      </c>
      <c r="AD468" s="117">
        <v>100</v>
      </c>
      <c r="AE468" s="117">
        <v>100</v>
      </c>
      <c r="AF468" s="117">
        <v>0</v>
      </c>
      <c r="AG468" s="117">
        <v>0</v>
      </c>
      <c r="AH468" s="117">
        <v>0</v>
      </c>
      <c r="AI468" s="117">
        <v>20</v>
      </c>
      <c r="AJ468" s="117">
        <v>100</v>
      </c>
      <c r="AK468" s="117">
        <v>0</v>
      </c>
      <c r="AL468" s="117">
        <v>25</v>
      </c>
      <c r="AM468" s="117">
        <v>0</v>
      </c>
      <c r="AN468" s="117">
        <v>0</v>
      </c>
      <c r="AO468" s="150"/>
      <c r="AP468" s="117">
        <v>0</v>
      </c>
      <c r="AQ468" s="117">
        <v>0</v>
      </c>
      <c r="AR468" s="117">
        <v>0</v>
      </c>
      <c r="AS468" s="117">
        <v>0</v>
      </c>
      <c r="AT468" s="117">
        <v>0</v>
      </c>
      <c r="AU468" s="117">
        <v>0</v>
      </c>
      <c r="AV468" s="117">
        <v>0</v>
      </c>
      <c r="AW468" s="117">
        <v>0</v>
      </c>
      <c r="AX468" s="117">
        <v>0</v>
      </c>
      <c r="AY468" s="117">
        <v>0</v>
      </c>
      <c r="AZ468" s="117">
        <v>0</v>
      </c>
      <c r="BA468" s="117">
        <v>0</v>
      </c>
    </row>
    <row r="469" spans="1:53" s="138" customFormat="1" outlineLevel="2" x14ac:dyDescent="0.25">
      <c r="A469" s="138" t="s">
        <v>1353</v>
      </c>
      <c r="B469" s="139" t="s">
        <v>1354</v>
      </c>
      <c r="C469" s="140" t="s">
        <v>1350</v>
      </c>
      <c r="D469" s="141"/>
      <c r="E469" s="142"/>
      <c r="F469" s="143">
        <v>100</v>
      </c>
      <c r="G469" s="143">
        <v>0</v>
      </c>
      <c r="H469" s="144">
        <f t="shared" si="120"/>
        <v>100</v>
      </c>
      <c r="I469" s="145" t="str">
        <f t="shared" si="121"/>
        <v>N.M.</v>
      </c>
      <c r="J469" s="146"/>
      <c r="K469" s="143">
        <v>200</v>
      </c>
      <c r="L469" s="143">
        <v>0</v>
      </c>
      <c r="M469" s="144">
        <f t="shared" si="122"/>
        <v>200</v>
      </c>
      <c r="N469" s="145" t="str">
        <f t="shared" si="123"/>
        <v>N.M.</v>
      </c>
      <c r="O469" s="147"/>
      <c r="P469" s="146"/>
      <c r="Q469" s="143">
        <v>500</v>
      </c>
      <c r="R469" s="143">
        <v>0</v>
      </c>
      <c r="S469" s="144">
        <f t="shared" si="124"/>
        <v>500</v>
      </c>
      <c r="T469" s="145" t="str">
        <f t="shared" si="125"/>
        <v>N.M.</v>
      </c>
      <c r="U469" s="146"/>
      <c r="V469" s="143">
        <v>500</v>
      </c>
      <c r="W469" s="143">
        <v>0</v>
      </c>
      <c r="X469" s="144">
        <f t="shared" si="126"/>
        <v>500</v>
      </c>
      <c r="Y469" s="145" t="str">
        <f t="shared" si="127"/>
        <v>N.M.</v>
      </c>
      <c r="Z469" s="148"/>
      <c r="AA469" s="149">
        <v>0</v>
      </c>
      <c r="AB469" s="150"/>
      <c r="AC469" s="117">
        <v>0</v>
      </c>
      <c r="AD469" s="117">
        <v>0</v>
      </c>
      <c r="AE469" s="117">
        <v>0</v>
      </c>
      <c r="AF469" s="117">
        <v>0</v>
      </c>
      <c r="AG469" s="117">
        <v>0</v>
      </c>
      <c r="AH469" s="117">
        <v>0</v>
      </c>
      <c r="AI469" s="117">
        <v>0</v>
      </c>
      <c r="AJ469" s="117">
        <v>0</v>
      </c>
      <c r="AK469" s="117">
        <v>0</v>
      </c>
      <c r="AL469" s="117">
        <v>0</v>
      </c>
      <c r="AM469" s="117">
        <v>0</v>
      </c>
      <c r="AN469" s="117">
        <v>300</v>
      </c>
      <c r="AO469" s="150"/>
      <c r="AP469" s="117">
        <v>100</v>
      </c>
      <c r="AQ469" s="117">
        <v>100</v>
      </c>
      <c r="AR469" s="117">
        <v>0</v>
      </c>
      <c r="AS469" s="117">
        <v>0</v>
      </c>
      <c r="AT469" s="117">
        <v>0</v>
      </c>
      <c r="AU469" s="117">
        <v>0</v>
      </c>
      <c r="AV469" s="117">
        <v>0</v>
      </c>
      <c r="AW469" s="117">
        <v>0</v>
      </c>
      <c r="AX469" s="117">
        <v>0</v>
      </c>
      <c r="AY469" s="117">
        <v>0</v>
      </c>
      <c r="AZ469" s="117">
        <v>0</v>
      </c>
      <c r="BA469" s="117">
        <v>0</v>
      </c>
    </row>
    <row r="470" spans="1:53" s="138" customFormat="1" outlineLevel="2" x14ac:dyDescent="0.25">
      <c r="A470" s="138" t="s">
        <v>1355</v>
      </c>
      <c r="B470" s="139" t="s">
        <v>1356</v>
      </c>
      <c r="C470" s="140" t="s">
        <v>1357</v>
      </c>
      <c r="D470" s="141"/>
      <c r="E470" s="142"/>
      <c r="F470" s="143">
        <v>0</v>
      </c>
      <c r="G470" s="143">
        <v>0</v>
      </c>
      <c r="H470" s="144">
        <f t="shared" si="120"/>
        <v>0</v>
      </c>
      <c r="I470" s="145">
        <f t="shared" si="121"/>
        <v>0</v>
      </c>
      <c r="J470" s="146"/>
      <c r="K470" s="143">
        <v>0</v>
      </c>
      <c r="L470" s="143">
        <v>0</v>
      </c>
      <c r="M470" s="144">
        <f t="shared" si="122"/>
        <v>0</v>
      </c>
      <c r="N470" s="145">
        <f t="shared" si="123"/>
        <v>0</v>
      </c>
      <c r="O470" s="147"/>
      <c r="P470" s="146"/>
      <c r="Q470" s="143">
        <v>0</v>
      </c>
      <c r="R470" s="143">
        <v>0</v>
      </c>
      <c r="S470" s="144">
        <f t="shared" si="124"/>
        <v>0</v>
      </c>
      <c r="T470" s="145">
        <f t="shared" si="125"/>
        <v>0</v>
      </c>
      <c r="U470" s="146"/>
      <c r="V470" s="143">
        <v>0</v>
      </c>
      <c r="W470" s="143">
        <v>133152.59</v>
      </c>
      <c r="X470" s="144">
        <f t="shared" si="126"/>
        <v>-133152.59</v>
      </c>
      <c r="Y470" s="145" t="str">
        <f t="shared" si="127"/>
        <v>N.M.</v>
      </c>
      <c r="Z470" s="148"/>
      <c r="AA470" s="149">
        <v>0</v>
      </c>
      <c r="AB470" s="150"/>
      <c r="AC470" s="117">
        <v>0</v>
      </c>
      <c r="AD470" s="117">
        <v>0</v>
      </c>
      <c r="AE470" s="117">
        <v>0</v>
      </c>
      <c r="AF470" s="117">
        <v>0</v>
      </c>
      <c r="AG470" s="117">
        <v>0</v>
      </c>
      <c r="AH470" s="117">
        <v>0</v>
      </c>
      <c r="AI470" s="117">
        <v>0</v>
      </c>
      <c r="AJ470" s="117">
        <v>0</v>
      </c>
      <c r="AK470" s="117">
        <v>0</v>
      </c>
      <c r="AL470" s="117">
        <v>0</v>
      </c>
      <c r="AM470" s="117">
        <v>0</v>
      </c>
      <c r="AN470" s="117">
        <v>0</v>
      </c>
      <c r="AO470" s="150"/>
      <c r="AP470" s="117">
        <v>0</v>
      </c>
      <c r="AQ470" s="117">
        <v>0</v>
      </c>
      <c r="AR470" s="117">
        <v>0</v>
      </c>
      <c r="AS470" s="117">
        <v>0</v>
      </c>
      <c r="AT470" s="117">
        <v>0</v>
      </c>
      <c r="AU470" s="117">
        <v>0</v>
      </c>
      <c r="AV470" s="117">
        <v>0</v>
      </c>
      <c r="AW470" s="117">
        <v>0</v>
      </c>
      <c r="AX470" s="117">
        <v>0</v>
      </c>
      <c r="AY470" s="117">
        <v>0</v>
      </c>
      <c r="AZ470" s="117">
        <v>0</v>
      </c>
      <c r="BA470" s="117">
        <v>0</v>
      </c>
    </row>
    <row r="471" spans="1:53" s="138" customFormat="1" outlineLevel="2" x14ac:dyDescent="0.25">
      <c r="A471" s="138" t="s">
        <v>1358</v>
      </c>
      <c r="B471" s="139" t="s">
        <v>1359</v>
      </c>
      <c r="C471" s="140" t="s">
        <v>1357</v>
      </c>
      <c r="D471" s="141"/>
      <c r="E471" s="142"/>
      <c r="F471" s="143">
        <v>0</v>
      </c>
      <c r="G471" s="143">
        <v>167</v>
      </c>
      <c r="H471" s="144">
        <f t="shared" si="120"/>
        <v>-167</v>
      </c>
      <c r="I471" s="145" t="str">
        <f t="shared" si="121"/>
        <v>N.M.</v>
      </c>
      <c r="J471" s="146"/>
      <c r="K471" s="143">
        <v>0</v>
      </c>
      <c r="L471" s="143">
        <v>334</v>
      </c>
      <c r="M471" s="144">
        <f t="shared" si="122"/>
        <v>-334</v>
      </c>
      <c r="N471" s="145" t="str">
        <f t="shared" si="123"/>
        <v>N.M.</v>
      </c>
      <c r="O471" s="147"/>
      <c r="P471" s="146"/>
      <c r="Q471" s="143">
        <v>11286.83</v>
      </c>
      <c r="R471" s="143">
        <v>4315</v>
      </c>
      <c r="S471" s="144">
        <f t="shared" si="124"/>
        <v>6971.83</v>
      </c>
      <c r="T471" s="145">
        <f t="shared" si="125"/>
        <v>1.6157195828505215</v>
      </c>
      <c r="U471" s="146"/>
      <c r="V471" s="143">
        <v>202281.06</v>
      </c>
      <c r="W471" s="143">
        <v>39584</v>
      </c>
      <c r="X471" s="144">
        <f t="shared" si="126"/>
        <v>162697.06</v>
      </c>
      <c r="Y471" s="145">
        <f t="shared" si="127"/>
        <v>4.1101722918350845</v>
      </c>
      <c r="Z471" s="148"/>
      <c r="AA471" s="149">
        <v>3981</v>
      </c>
      <c r="AB471" s="150"/>
      <c r="AC471" s="117">
        <v>167</v>
      </c>
      <c r="AD471" s="117">
        <v>167</v>
      </c>
      <c r="AE471" s="117">
        <v>186742.22</v>
      </c>
      <c r="AF471" s="117">
        <v>167</v>
      </c>
      <c r="AG471" s="117">
        <v>167</v>
      </c>
      <c r="AH471" s="117">
        <v>170</v>
      </c>
      <c r="AI471" s="117">
        <v>0</v>
      </c>
      <c r="AJ471" s="117">
        <v>2683.34</v>
      </c>
      <c r="AK471" s="117">
        <v>1064.67</v>
      </c>
      <c r="AL471" s="117">
        <v>0</v>
      </c>
      <c r="AM471" s="117">
        <v>0</v>
      </c>
      <c r="AN471" s="117">
        <v>11286.83</v>
      </c>
      <c r="AO471" s="150"/>
      <c r="AP471" s="117">
        <v>0</v>
      </c>
      <c r="AQ471" s="117">
        <v>0</v>
      </c>
      <c r="AR471" s="117">
        <v>0</v>
      </c>
      <c r="AS471" s="117">
        <v>0</v>
      </c>
      <c r="AT471" s="117">
        <v>0</v>
      </c>
      <c r="AU471" s="117">
        <v>0</v>
      </c>
      <c r="AV471" s="117">
        <v>0</v>
      </c>
      <c r="AW471" s="117">
        <v>0</v>
      </c>
      <c r="AX471" s="117">
        <v>0</v>
      </c>
      <c r="AY471" s="117">
        <v>0</v>
      </c>
      <c r="AZ471" s="117">
        <v>0</v>
      </c>
      <c r="BA471" s="117">
        <v>0</v>
      </c>
    </row>
    <row r="472" spans="1:53" s="138" customFormat="1" outlineLevel="2" x14ac:dyDescent="0.25">
      <c r="A472" s="138" t="s">
        <v>1360</v>
      </c>
      <c r="B472" s="139" t="s">
        <v>1361</v>
      </c>
      <c r="C472" s="140" t="s">
        <v>1357</v>
      </c>
      <c r="D472" s="141"/>
      <c r="E472" s="142"/>
      <c r="F472" s="143">
        <v>0</v>
      </c>
      <c r="G472" s="143">
        <v>19954</v>
      </c>
      <c r="H472" s="144">
        <f t="shared" si="120"/>
        <v>-19954</v>
      </c>
      <c r="I472" s="145" t="str">
        <f t="shared" si="121"/>
        <v>N.M.</v>
      </c>
      <c r="J472" s="146"/>
      <c r="K472" s="143">
        <v>0</v>
      </c>
      <c r="L472" s="143">
        <v>39908</v>
      </c>
      <c r="M472" s="144">
        <f t="shared" si="122"/>
        <v>-39908</v>
      </c>
      <c r="N472" s="145" t="str">
        <f t="shared" si="123"/>
        <v>N.M.</v>
      </c>
      <c r="O472" s="147"/>
      <c r="P472" s="146"/>
      <c r="Q472" s="143">
        <v>19955</v>
      </c>
      <c r="R472" s="143">
        <v>39908</v>
      </c>
      <c r="S472" s="144">
        <f t="shared" si="124"/>
        <v>-19953</v>
      </c>
      <c r="T472" s="145">
        <f t="shared" si="125"/>
        <v>-0.49997494236744511</v>
      </c>
      <c r="U472" s="146"/>
      <c r="V472" s="143">
        <v>204641</v>
      </c>
      <c r="W472" s="143">
        <v>39908</v>
      </c>
      <c r="X472" s="144">
        <f t="shared" si="126"/>
        <v>164733</v>
      </c>
      <c r="Y472" s="145">
        <f t="shared" si="127"/>
        <v>4.1278189836624239</v>
      </c>
      <c r="Z472" s="148"/>
      <c r="AA472" s="149">
        <v>0</v>
      </c>
      <c r="AB472" s="150"/>
      <c r="AC472" s="117">
        <v>19954</v>
      </c>
      <c r="AD472" s="117">
        <v>19954</v>
      </c>
      <c r="AE472" s="117">
        <v>19954</v>
      </c>
      <c r="AF472" s="117">
        <v>19954</v>
      </c>
      <c r="AG472" s="117">
        <v>19954</v>
      </c>
      <c r="AH472" s="117">
        <v>19954</v>
      </c>
      <c r="AI472" s="117">
        <v>21961</v>
      </c>
      <c r="AJ472" s="117">
        <v>19954</v>
      </c>
      <c r="AK472" s="117">
        <v>23047</v>
      </c>
      <c r="AL472" s="117">
        <v>19954</v>
      </c>
      <c r="AM472" s="117">
        <v>19954</v>
      </c>
      <c r="AN472" s="117">
        <v>19955</v>
      </c>
      <c r="AO472" s="150"/>
      <c r="AP472" s="117">
        <v>0</v>
      </c>
      <c r="AQ472" s="117">
        <v>0</v>
      </c>
      <c r="AR472" s="117">
        <v>0</v>
      </c>
      <c r="AS472" s="117">
        <v>0</v>
      </c>
      <c r="AT472" s="117">
        <v>0</v>
      </c>
      <c r="AU472" s="117">
        <v>0</v>
      </c>
      <c r="AV472" s="117">
        <v>0</v>
      </c>
      <c r="AW472" s="117">
        <v>0</v>
      </c>
      <c r="AX472" s="117">
        <v>0</v>
      </c>
      <c r="AY472" s="117">
        <v>0</v>
      </c>
      <c r="AZ472" s="117">
        <v>0</v>
      </c>
      <c r="BA472" s="117">
        <v>0</v>
      </c>
    </row>
    <row r="473" spans="1:53" s="138" customFormat="1" outlineLevel="2" x14ac:dyDescent="0.25">
      <c r="A473" s="138" t="s">
        <v>1362</v>
      </c>
      <c r="B473" s="139" t="s">
        <v>1363</v>
      </c>
      <c r="C473" s="140" t="s">
        <v>1357</v>
      </c>
      <c r="D473" s="141"/>
      <c r="E473" s="142"/>
      <c r="F473" s="143">
        <v>19442</v>
      </c>
      <c r="G473" s="143">
        <v>0</v>
      </c>
      <c r="H473" s="144">
        <f t="shared" si="120"/>
        <v>19442</v>
      </c>
      <c r="I473" s="145" t="str">
        <f t="shared" si="121"/>
        <v>N.M.</v>
      </c>
      <c r="J473" s="146"/>
      <c r="K473" s="143">
        <v>38884</v>
      </c>
      <c r="L473" s="143">
        <v>0</v>
      </c>
      <c r="M473" s="144">
        <f t="shared" si="122"/>
        <v>38884</v>
      </c>
      <c r="N473" s="145" t="str">
        <f t="shared" si="123"/>
        <v>N.M.</v>
      </c>
      <c r="O473" s="147"/>
      <c r="P473" s="146"/>
      <c r="Q473" s="143">
        <v>38884</v>
      </c>
      <c r="R473" s="143">
        <v>0</v>
      </c>
      <c r="S473" s="144">
        <f t="shared" si="124"/>
        <v>38884</v>
      </c>
      <c r="T473" s="145" t="str">
        <f t="shared" si="125"/>
        <v>N.M.</v>
      </c>
      <c r="U473" s="146"/>
      <c r="V473" s="143">
        <v>38884</v>
      </c>
      <c r="W473" s="143">
        <v>0</v>
      </c>
      <c r="X473" s="144">
        <f t="shared" si="126"/>
        <v>38884</v>
      </c>
      <c r="Y473" s="145" t="str">
        <f t="shared" si="127"/>
        <v>N.M.</v>
      </c>
      <c r="Z473" s="148"/>
      <c r="AA473" s="149">
        <v>0</v>
      </c>
      <c r="AB473" s="150"/>
      <c r="AC473" s="117">
        <v>0</v>
      </c>
      <c r="AD473" s="117">
        <v>0</v>
      </c>
      <c r="AE473" s="117">
        <v>0</v>
      </c>
      <c r="AF473" s="117">
        <v>0</v>
      </c>
      <c r="AG473" s="117">
        <v>0</v>
      </c>
      <c r="AH473" s="117">
        <v>0</v>
      </c>
      <c r="AI473" s="117">
        <v>0</v>
      </c>
      <c r="AJ473" s="117">
        <v>0</v>
      </c>
      <c r="AK473" s="117">
        <v>0</v>
      </c>
      <c r="AL473" s="117">
        <v>0</v>
      </c>
      <c r="AM473" s="117">
        <v>0</v>
      </c>
      <c r="AN473" s="117">
        <v>0</v>
      </c>
      <c r="AO473" s="150"/>
      <c r="AP473" s="117">
        <v>19442</v>
      </c>
      <c r="AQ473" s="117">
        <v>19442</v>
      </c>
      <c r="AR473" s="117">
        <v>0</v>
      </c>
      <c r="AS473" s="117">
        <v>0</v>
      </c>
      <c r="AT473" s="117">
        <v>0</v>
      </c>
      <c r="AU473" s="117">
        <v>0</v>
      </c>
      <c r="AV473" s="117">
        <v>0</v>
      </c>
      <c r="AW473" s="117">
        <v>0</v>
      </c>
      <c r="AX473" s="117">
        <v>0</v>
      </c>
      <c r="AY473" s="117">
        <v>0</v>
      </c>
      <c r="AZ473" s="117">
        <v>0</v>
      </c>
      <c r="BA473" s="117">
        <v>0</v>
      </c>
    </row>
    <row r="474" spans="1:53" s="138" customFormat="1" outlineLevel="2" x14ac:dyDescent="0.25">
      <c r="A474" s="138" t="s">
        <v>1364</v>
      </c>
      <c r="B474" s="139" t="s">
        <v>1365</v>
      </c>
      <c r="C474" s="140" t="s">
        <v>1366</v>
      </c>
      <c r="D474" s="141"/>
      <c r="E474" s="142"/>
      <c r="F474" s="143">
        <v>-91234.38</v>
      </c>
      <c r="G474" s="143">
        <v>-75634.23</v>
      </c>
      <c r="H474" s="144">
        <f t="shared" si="120"/>
        <v>-15600.150000000009</v>
      </c>
      <c r="I474" s="145">
        <f t="shared" si="121"/>
        <v>-0.2062578015271658</v>
      </c>
      <c r="J474" s="146"/>
      <c r="K474" s="143">
        <v>-161409.96</v>
      </c>
      <c r="L474" s="143">
        <v>-145926.56</v>
      </c>
      <c r="M474" s="144">
        <f t="shared" si="122"/>
        <v>-15483.399999999994</v>
      </c>
      <c r="N474" s="145">
        <f t="shared" si="123"/>
        <v>-0.10610405672551998</v>
      </c>
      <c r="O474" s="147"/>
      <c r="P474" s="146"/>
      <c r="Q474" s="143">
        <v>-294841.78000000003</v>
      </c>
      <c r="R474" s="143">
        <v>-215076.46</v>
      </c>
      <c r="S474" s="144">
        <f t="shared" si="124"/>
        <v>-79765.320000000036</v>
      </c>
      <c r="T474" s="145">
        <f t="shared" si="125"/>
        <v>-0.37086959679362419</v>
      </c>
      <c r="U474" s="146"/>
      <c r="V474" s="143">
        <v>-1136146.6600000001</v>
      </c>
      <c r="W474" s="143">
        <v>-1083408.22</v>
      </c>
      <c r="X474" s="144">
        <f t="shared" si="126"/>
        <v>-52738.440000000177</v>
      </c>
      <c r="Y474" s="145">
        <f t="shared" si="127"/>
        <v>-4.8678271981359142E-2</v>
      </c>
      <c r="Z474" s="148"/>
      <c r="AA474" s="149">
        <v>-69149.899999999994</v>
      </c>
      <c r="AB474" s="150"/>
      <c r="AC474" s="117">
        <v>-70292.33</v>
      </c>
      <c r="AD474" s="117">
        <v>-75634.23</v>
      </c>
      <c r="AE474" s="117">
        <v>-82058.84</v>
      </c>
      <c r="AF474" s="117">
        <v>-124379.43000000001</v>
      </c>
      <c r="AG474" s="117">
        <v>-87732.180000000008</v>
      </c>
      <c r="AH474" s="117">
        <v>-80751.710000000006</v>
      </c>
      <c r="AI474" s="117">
        <v>-69637.8</v>
      </c>
      <c r="AJ474" s="117">
        <v>-74826.930000000008</v>
      </c>
      <c r="AK474" s="117">
        <v>-121712.73</v>
      </c>
      <c r="AL474" s="117">
        <v>-107002.62</v>
      </c>
      <c r="AM474" s="117">
        <v>-93202.64</v>
      </c>
      <c r="AN474" s="117">
        <v>-133431.82</v>
      </c>
      <c r="AO474" s="150"/>
      <c r="AP474" s="117">
        <v>-70175.58</v>
      </c>
      <c r="AQ474" s="117">
        <v>-91234.38</v>
      </c>
      <c r="AR474" s="117">
        <v>-48046.22</v>
      </c>
      <c r="AS474" s="117">
        <v>0</v>
      </c>
      <c r="AT474" s="117">
        <v>0</v>
      </c>
      <c r="AU474" s="117">
        <v>0</v>
      </c>
      <c r="AV474" s="117">
        <v>0</v>
      </c>
      <c r="AW474" s="117">
        <v>0</v>
      </c>
      <c r="AX474" s="117">
        <v>0</v>
      </c>
      <c r="AY474" s="117">
        <v>0</v>
      </c>
      <c r="AZ474" s="117">
        <v>0</v>
      </c>
      <c r="BA474" s="117">
        <v>0</v>
      </c>
    </row>
    <row r="475" spans="1:53" s="138" customFormat="1" outlineLevel="2" x14ac:dyDescent="0.25">
      <c r="A475" s="138" t="s">
        <v>1367</v>
      </c>
      <c r="B475" s="139" t="s">
        <v>1368</v>
      </c>
      <c r="C475" s="140" t="s">
        <v>1369</v>
      </c>
      <c r="D475" s="141"/>
      <c r="E475" s="142"/>
      <c r="F475" s="143">
        <v>-1034.1400000000001</v>
      </c>
      <c r="G475" s="143">
        <v>-528.01</v>
      </c>
      <c r="H475" s="144">
        <f t="shared" si="120"/>
        <v>-506.13000000000011</v>
      </c>
      <c r="I475" s="145">
        <f t="shared" si="121"/>
        <v>-0.95856139088274861</v>
      </c>
      <c r="J475" s="146"/>
      <c r="K475" s="143">
        <v>-1812.91</v>
      </c>
      <c r="L475" s="143">
        <v>-987.51</v>
      </c>
      <c r="M475" s="144">
        <f t="shared" si="122"/>
        <v>-825.40000000000009</v>
      </c>
      <c r="N475" s="145">
        <f t="shared" si="123"/>
        <v>-0.83583963706696651</v>
      </c>
      <c r="O475" s="147"/>
      <c r="P475" s="146"/>
      <c r="Q475" s="143">
        <v>-2371.6999999999998</v>
      </c>
      <c r="R475" s="143">
        <v>-1499.21</v>
      </c>
      <c r="S475" s="144">
        <f t="shared" si="124"/>
        <v>-872.48999999999978</v>
      </c>
      <c r="T475" s="145">
        <f t="shared" si="125"/>
        <v>-0.58196650235790837</v>
      </c>
      <c r="U475" s="146"/>
      <c r="V475" s="143">
        <v>-7931.7</v>
      </c>
      <c r="W475" s="143">
        <v>-6877.87</v>
      </c>
      <c r="X475" s="144">
        <f t="shared" si="126"/>
        <v>-1053.83</v>
      </c>
      <c r="Y475" s="145">
        <f t="shared" si="127"/>
        <v>-0.15322040108347496</v>
      </c>
      <c r="Z475" s="148"/>
      <c r="AA475" s="149">
        <v>-511.7</v>
      </c>
      <c r="AB475" s="150"/>
      <c r="AC475" s="117">
        <v>-459.5</v>
      </c>
      <c r="AD475" s="117">
        <v>-528.01</v>
      </c>
      <c r="AE475" s="117">
        <v>-557.69000000000005</v>
      </c>
      <c r="AF475" s="117">
        <v>-856.45</v>
      </c>
      <c r="AG475" s="117">
        <v>-591.74</v>
      </c>
      <c r="AH475" s="117">
        <v>-545.19000000000005</v>
      </c>
      <c r="AI475" s="117">
        <v>-450.44</v>
      </c>
      <c r="AJ475" s="117">
        <v>-524.68000000000006</v>
      </c>
      <c r="AK475" s="117">
        <v>-815.5</v>
      </c>
      <c r="AL475" s="117">
        <v>-584.1</v>
      </c>
      <c r="AM475" s="117">
        <v>-634.21</v>
      </c>
      <c r="AN475" s="117">
        <v>-558.79</v>
      </c>
      <c r="AO475" s="150"/>
      <c r="AP475" s="117">
        <v>-778.77</v>
      </c>
      <c r="AQ475" s="117">
        <v>-1034.1400000000001</v>
      </c>
      <c r="AR475" s="117">
        <v>-578.48</v>
      </c>
      <c r="AS475" s="117">
        <v>0</v>
      </c>
      <c r="AT475" s="117">
        <v>0</v>
      </c>
      <c r="AU475" s="117">
        <v>0</v>
      </c>
      <c r="AV475" s="117">
        <v>0</v>
      </c>
      <c r="AW475" s="117">
        <v>0</v>
      </c>
      <c r="AX475" s="117">
        <v>0</v>
      </c>
      <c r="AY475" s="117">
        <v>0</v>
      </c>
      <c r="AZ475" s="117">
        <v>0</v>
      </c>
      <c r="BA475" s="117">
        <v>0</v>
      </c>
    </row>
    <row r="476" spans="1:53" s="138" customFormat="1" outlineLevel="2" x14ac:dyDescent="0.25">
      <c r="A476" s="138" t="s">
        <v>1370</v>
      </c>
      <c r="B476" s="139" t="s">
        <v>1371</v>
      </c>
      <c r="C476" s="140" t="s">
        <v>1372</v>
      </c>
      <c r="D476" s="141"/>
      <c r="E476" s="142"/>
      <c r="F476" s="143">
        <v>-1796.68</v>
      </c>
      <c r="G476" s="143">
        <v>-1450.09</v>
      </c>
      <c r="H476" s="144">
        <f t="shared" si="120"/>
        <v>-346.59000000000015</v>
      </c>
      <c r="I476" s="145">
        <f t="shared" si="121"/>
        <v>-0.23901275093270083</v>
      </c>
      <c r="J476" s="146"/>
      <c r="K476" s="143">
        <v>-3123.4900000000002</v>
      </c>
      <c r="L476" s="143">
        <v>-2733.51</v>
      </c>
      <c r="M476" s="144">
        <f t="shared" si="122"/>
        <v>-389.98</v>
      </c>
      <c r="N476" s="145">
        <f t="shared" si="123"/>
        <v>-0.14266638863585646</v>
      </c>
      <c r="O476" s="147"/>
      <c r="P476" s="146"/>
      <c r="Q476" s="143">
        <v>-4828.4500000000007</v>
      </c>
      <c r="R476" s="143">
        <v>-4392.05</v>
      </c>
      <c r="S476" s="144">
        <f t="shared" si="124"/>
        <v>-436.40000000000055</v>
      </c>
      <c r="T476" s="145">
        <f t="shared" si="125"/>
        <v>-9.9361346068464737E-2</v>
      </c>
      <c r="U476" s="146"/>
      <c r="V476" s="143">
        <v>-23097.710000000003</v>
      </c>
      <c r="W476" s="143">
        <v>-22440.340000000004</v>
      </c>
      <c r="X476" s="144">
        <f t="shared" si="126"/>
        <v>-657.36999999999898</v>
      </c>
      <c r="Y476" s="145">
        <f t="shared" si="127"/>
        <v>-2.9294119429562959E-2</v>
      </c>
      <c r="Z476" s="148"/>
      <c r="AA476" s="149">
        <v>-1658.54</v>
      </c>
      <c r="AB476" s="150"/>
      <c r="AC476" s="117">
        <v>-1283.42</v>
      </c>
      <c r="AD476" s="117">
        <v>-1450.09</v>
      </c>
      <c r="AE476" s="117">
        <v>-1531.8500000000001</v>
      </c>
      <c r="AF476" s="117">
        <v>-2793.32</v>
      </c>
      <c r="AG476" s="117">
        <v>-1932.58</v>
      </c>
      <c r="AH476" s="117">
        <v>-1758.14</v>
      </c>
      <c r="AI476" s="117">
        <v>-1649.96</v>
      </c>
      <c r="AJ476" s="117">
        <v>-1909.55</v>
      </c>
      <c r="AK476" s="117">
        <v>-2974.38</v>
      </c>
      <c r="AL476" s="117">
        <v>-1780.1200000000001</v>
      </c>
      <c r="AM476" s="117">
        <v>-1939.3600000000001</v>
      </c>
      <c r="AN476" s="117">
        <v>-1704.96</v>
      </c>
      <c r="AO476" s="150"/>
      <c r="AP476" s="117">
        <v>-1326.81</v>
      </c>
      <c r="AQ476" s="117">
        <v>-1796.68</v>
      </c>
      <c r="AR476" s="117">
        <v>-1013.1800000000001</v>
      </c>
      <c r="AS476" s="117">
        <v>0</v>
      </c>
      <c r="AT476" s="117">
        <v>0</v>
      </c>
      <c r="AU476" s="117">
        <v>0</v>
      </c>
      <c r="AV476" s="117">
        <v>0</v>
      </c>
      <c r="AW476" s="117">
        <v>0</v>
      </c>
      <c r="AX476" s="117">
        <v>0</v>
      </c>
      <c r="AY476" s="117">
        <v>0</v>
      </c>
      <c r="AZ476" s="117">
        <v>0</v>
      </c>
      <c r="BA476" s="117">
        <v>0</v>
      </c>
    </row>
    <row r="477" spans="1:53" s="138" customFormat="1" outlineLevel="2" x14ac:dyDescent="0.25">
      <c r="A477" s="138" t="s">
        <v>1373</v>
      </c>
      <c r="B477" s="139" t="s">
        <v>1374</v>
      </c>
      <c r="C477" s="140" t="s">
        <v>1375</v>
      </c>
      <c r="D477" s="141"/>
      <c r="E477" s="142"/>
      <c r="F477" s="143">
        <v>0</v>
      </c>
      <c r="G477" s="143">
        <v>0</v>
      </c>
      <c r="H477" s="144">
        <f t="shared" si="120"/>
        <v>0</v>
      </c>
      <c r="I477" s="145">
        <f t="shared" si="121"/>
        <v>0</v>
      </c>
      <c r="J477" s="146"/>
      <c r="K477" s="143">
        <v>0</v>
      </c>
      <c r="L477" s="143">
        <v>0</v>
      </c>
      <c r="M477" s="144">
        <f t="shared" si="122"/>
        <v>0</v>
      </c>
      <c r="N477" s="145">
        <f t="shared" si="123"/>
        <v>0</v>
      </c>
      <c r="O477" s="147"/>
      <c r="P477" s="146"/>
      <c r="Q477" s="143">
        <v>0</v>
      </c>
      <c r="R477" s="143">
        <v>0</v>
      </c>
      <c r="S477" s="144">
        <f t="shared" si="124"/>
        <v>0</v>
      </c>
      <c r="T477" s="145">
        <f t="shared" si="125"/>
        <v>0</v>
      </c>
      <c r="U477" s="146"/>
      <c r="V477" s="143">
        <v>0</v>
      </c>
      <c r="W477" s="143">
        <v>74.39</v>
      </c>
      <c r="X477" s="144">
        <f t="shared" si="126"/>
        <v>-74.39</v>
      </c>
      <c r="Y477" s="145" t="str">
        <f t="shared" si="127"/>
        <v>N.M.</v>
      </c>
      <c r="Z477" s="148"/>
      <c r="AA477" s="149">
        <v>0</v>
      </c>
      <c r="AB477" s="150"/>
      <c r="AC477" s="117">
        <v>0</v>
      </c>
      <c r="AD477" s="117">
        <v>0</v>
      </c>
      <c r="AE477" s="117">
        <v>0</v>
      </c>
      <c r="AF477" s="117">
        <v>0</v>
      </c>
      <c r="AG477" s="117">
        <v>0</v>
      </c>
      <c r="AH477" s="117">
        <v>0</v>
      </c>
      <c r="AI477" s="117">
        <v>0</v>
      </c>
      <c r="AJ477" s="117">
        <v>0</v>
      </c>
      <c r="AK477" s="117">
        <v>0</v>
      </c>
      <c r="AL477" s="117">
        <v>0</v>
      </c>
      <c r="AM477" s="117">
        <v>0</v>
      </c>
      <c r="AN477" s="117">
        <v>0</v>
      </c>
      <c r="AO477" s="150"/>
      <c r="AP477" s="117">
        <v>0</v>
      </c>
      <c r="AQ477" s="117">
        <v>0</v>
      </c>
      <c r="AR477" s="117">
        <v>0</v>
      </c>
      <c r="AS477" s="117">
        <v>0</v>
      </c>
      <c r="AT477" s="117">
        <v>0</v>
      </c>
      <c r="AU477" s="117">
        <v>0</v>
      </c>
      <c r="AV477" s="117">
        <v>0</v>
      </c>
      <c r="AW477" s="117">
        <v>0</v>
      </c>
      <c r="AX477" s="117">
        <v>0</v>
      </c>
      <c r="AY477" s="117">
        <v>0</v>
      </c>
      <c r="AZ477" s="117">
        <v>0</v>
      </c>
      <c r="BA477" s="117">
        <v>0</v>
      </c>
    </row>
    <row r="478" spans="1:53" s="138" customFormat="1" outlineLevel="2" x14ac:dyDescent="0.25">
      <c r="A478" s="138" t="s">
        <v>1376</v>
      </c>
      <c r="B478" s="139" t="s">
        <v>1377</v>
      </c>
      <c r="C478" s="140" t="s">
        <v>1375</v>
      </c>
      <c r="D478" s="141"/>
      <c r="E478" s="142"/>
      <c r="F478" s="143">
        <v>0</v>
      </c>
      <c r="G478" s="143">
        <v>0</v>
      </c>
      <c r="H478" s="144">
        <f t="shared" si="120"/>
        <v>0</v>
      </c>
      <c r="I478" s="145">
        <f t="shared" si="121"/>
        <v>0</v>
      </c>
      <c r="J478" s="146"/>
      <c r="K478" s="143">
        <v>0</v>
      </c>
      <c r="L478" s="143">
        <v>0</v>
      </c>
      <c r="M478" s="144">
        <f t="shared" si="122"/>
        <v>0</v>
      </c>
      <c r="N478" s="145">
        <f t="shared" si="123"/>
        <v>0</v>
      </c>
      <c r="O478" s="147"/>
      <c r="P478" s="146"/>
      <c r="Q478" s="143">
        <v>317.51</v>
      </c>
      <c r="R478" s="143">
        <v>2125</v>
      </c>
      <c r="S478" s="144">
        <f t="shared" si="124"/>
        <v>-1807.49</v>
      </c>
      <c r="T478" s="145">
        <f t="shared" si="125"/>
        <v>-0.85058352941176474</v>
      </c>
      <c r="U478" s="146"/>
      <c r="V478" s="143">
        <v>-2222.54</v>
      </c>
      <c r="W478" s="143">
        <v>21250</v>
      </c>
      <c r="X478" s="144">
        <f t="shared" si="126"/>
        <v>-23472.54</v>
      </c>
      <c r="Y478" s="145">
        <f t="shared" si="127"/>
        <v>-1.1045901176470589</v>
      </c>
      <c r="Z478" s="148"/>
      <c r="AA478" s="149">
        <v>2125</v>
      </c>
      <c r="AB478" s="150"/>
      <c r="AC478" s="117">
        <v>0</v>
      </c>
      <c r="AD478" s="117">
        <v>0</v>
      </c>
      <c r="AE478" s="117">
        <v>0</v>
      </c>
      <c r="AF478" s="117">
        <v>0</v>
      </c>
      <c r="AG478" s="117">
        <v>0</v>
      </c>
      <c r="AH478" s="117">
        <v>0</v>
      </c>
      <c r="AI478" s="117">
        <v>0</v>
      </c>
      <c r="AJ478" s="117">
        <v>0</v>
      </c>
      <c r="AK478" s="117">
        <v>-2540.0500000000002</v>
      </c>
      <c r="AL478" s="117">
        <v>0</v>
      </c>
      <c r="AM478" s="117">
        <v>0</v>
      </c>
      <c r="AN478" s="117">
        <v>317.51</v>
      </c>
      <c r="AO478" s="150"/>
      <c r="AP478" s="117">
        <v>0</v>
      </c>
      <c r="AQ478" s="117">
        <v>0</v>
      </c>
      <c r="AR478" s="117">
        <v>0</v>
      </c>
      <c r="AS478" s="117">
        <v>0</v>
      </c>
      <c r="AT478" s="117">
        <v>0</v>
      </c>
      <c r="AU478" s="117">
        <v>0</v>
      </c>
      <c r="AV478" s="117">
        <v>0</v>
      </c>
      <c r="AW478" s="117">
        <v>0</v>
      </c>
      <c r="AX478" s="117">
        <v>0</v>
      </c>
      <c r="AY478" s="117">
        <v>0</v>
      </c>
      <c r="AZ478" s="117">
        <v>0</v>
      </c>
      <c r="BA478" s="117">
        <v>0</v>
      </c>
    </row>
    <row r="479" spans="1:53" s="138" customFormat="1" outlineLevel="2" x14ac:dyDescent="0.25">
      <c r="A479" s="138" t="s">
        <v>1378</v>
      </c>
      <c r="B479" s="139" t="s">
        <v>1379</v>
      </c>
      <c r="C479" s="140" t="s">
        <v>1375</v>
      </c>
      <c r="D479" s="141"/>
      <c r="E479" s="142"/>
      <c r="F479" s="143">
        <v>0</v>
      </c>
      <c r="G479" s="143">
        <v>2125</v>
      </c>
      <c r="H479" s="144">
        <f t="shared" si="120"/>
        <v>-2125</v>
      </c>
      <c r="I479" s="145" t="str">
        <f t="shared" si="121"/>
        <v>N.M.</v>
      </c>
      <c r="J479" s="146"/>
      <c r="K479" s="143">
        <v>0</v>
      </c>
      <c r="L479" s="143">
        <v>4250</v>
      </c>
      <c r="M479" s="144">
        <f t="shared" si="122"/>
        <v>-4250</v>
      </c>
      <c r="N479" s="145" t="str">
        <f t="shared" si="123"/>
        <v>N.M.</v>
      </c>
      <c r="O479" s="147"/>
      <c r="P479" s="146"/>
      <c r="Q479" s="143">
        <v>2125</v>
      </c>
      <c r="R479" s="143">
        <v>4250</v>
      </c>
      <c r="S479" s="144">
        <f t="shared" si="124"/>
        <v>-2125</v>
      </c>
      <c r="T479" s="145">
        <f t="shared" si="125"/>
        <v>-0.5</v>
      </c>
      <c r="U479" s="146"/>
      <c r="V479" s="143">
        <v>21250</v>
      </c>
      <c r="W479" s="143">
        <v>4250</v>
      </c>
      <c r="X479" s="144">
        <f t="shared" si="126"/>
        <v>17000</v>
      </c>
      <c r="Y479" s="145">
        <f t="shared" si="127"/>
        <v>4</v>
      </c>
      <c r="Z479" s="148"/>
      <c r="AA479" s="149">
        <v>0</v>
      </c>
      <c r="AB479" s="150"/>
      <c r="AC479" s="117">
        <v>2125</v>
      </c>
      <c r="AD479" s="117">
        <v>2125</v>
      </c>
      <c r="AE479" s="117">
        <v>2125</v>
      </c>
      <c r="AF479" s="117">
        <v>2125</v>
      </c>
      <c r="AG479" s="117">
        <v>2125</v>
      </c>
      <c r="AH479" s="117">
        <v>2125</v>
      </c>
      <c r="AI479" s="117">
        <v>2125</v>
      </c>
      <c r="AJ479" s="117">
        <v>2125</v>
      </c>
      <c r="AK479" s="117">
        <v>2125</v>
      </c>
      <c r="AL479" s="117">
        <v>2125</v>
      </c>
      <c r="AM479" s="117">
        <v>2125</v>
      </c>
      <c r="AN479" s="117">
        <v>2125</v>
      </c>
      <c r="AO479" s="150"/>
      <c r="AP479" s="117">
        <v>0</v>
      </c>
      <c r="AQ479" s="117">
        <v>0</v>
      </c>
      <c r="AR479" s="117">
        <v>0</v>
      </c>
      <c r="AS479" s="117">
        <v>0</v>
      </c>
      <c r="AT479" s="117">
        <v>0</v>
      </c>
      <c r="AU479" s="117">
        <v>0</v>
      </c>
      <c r="AV479" s="117">
        <v>0</v>
      </c>
      <c r="AW479" s="117">
        <v>0</v>
      </c>
      <c r="AX479" s="117">
        <v>0</v>
      </c>
      <c r="AY479" s="117">
        <v>0</v>
      </c>
      <c r="AZ479" s="117">
        <v>0</v>
      </c>
      <c r="BA479" s="117">
        <v>0</v>
      </c>
    </row>
    <row r="480" spans="1:53" s="138" customFormat="1" outlineLevel="2" x14ac:dyDescent="0.25">
      <c r="A480" s="138" t="s">
        <v>1380</v>
      </c>
      <c r="B480" s="139" t="s">
        <v>1381</v>
      </c>
      <c r="C480" s="140" t="s">
        <v>1375</v>
      </c>
      <c r="D480" s="141"/>
      <c r="E480" s="142"/>
      <c r="F480" s="143">
        <v>2000</v>
      </c>
      <c r="G480" s="143">
        <v>0</v>
      </c>
      <c r="H480" s="144">
        <f t="shared" si="120"/>
        <v>2000</v>
      </c>
      <c r="I480" s="145" t="str">
        <f t="shared" si="121"/>
        <v>N.M.</v>
      </c>
      <c r="J480" s="146"/>
      <c r="K480" s="143">
        <v>4000</v>
      </c>
      <c r="L480" s="143">
        <v>0</v>
      </c>
      <c r="M480" s="144">
        <f t="shared" si="122"/>
        <v>4000</v>
      </c>
      <c r="N480" s="145" t="str">
        <f t="shared" si="123"/>
        <v>N.M.</v>
      </c>
      <c r="O480" s="147"/>
      <c r="P480" s="146"/>
      <c r="Q480" s="143">
        <v>4000</v>
      </c>
      <c r="R480" s="143">
        <v>0</v>
      </c>
      <c r="S480" s="144">
        <f t="shared" si="124"/>
        <v>4000</v>
      </c>
      <c r="T480" s="145" t="str">
        <f t="shared" si="125"/>
        <v>N.M.</v>
      </c>
      <c r="U480" s="146"/>
      <c r="V480" s="143">
        <v>4000</v>
      </c>
      <c r="W480" s="143">
        <v>0</v>
      </c>
      <c r="X480" s="144">
        <f t="shared" si="126"/>
        <v>4000</v>
      </c>
      <c r="Y480" s="145" t="str">
        <f t="shared" si="127"/>
        <v>N.M.</v>
      </c>
      <c r="Z480" s="148"/>
      <c r="AA480" s="149">
        <v>0</v>
      </c>
      <c r="AB480" s="150"/>
      <c r="AC480" s="117">
        <v>0</v>
      </c>
      <c r="AD480" s="117">
        <v>0</v>
      </c>
      <c r="AE480" s="117">
        <v>0</v>
      </c>
      <c r="AF480" s="117">
        <v>0</v>
      </c>
      <c r="AG480" s="117">
        <v>0</v>
      </c>
      <c r="AH480" s="117">
        <v>0</v>
      </c>
      <c r="AI480" s="117">
        <v>0</v>
      </c>
      <c r="AJ480" s="117">
        <v>0</v>
      </c>
      <c r="AK480" s="117">
        <v>0</v>
      </c>
      <c r="AL480" s="117">
        <v>0</v>
      </c>
      <c r="AM480" s="117">
        <v>0</v>
      </c>
      <c r="AN480" s="117">
        <v>0</v>
      </c>
      <c r="AO480" s="150"/>
      <c r="AP480" s="117">
        <v>2000</v>
      </c>
      <c r="AQ480" s="117">
        <v>2000</v>
      </c>
      <c r="AR480" s="117">
        <v>0</v>
      </c>
      <c r="AS480" s="117">
        <v>0</v>
      </c>
      <c r="AT480" s="117">
        <v>0</v>
      </c>
      <c r="AU480" s="117">
        <v>0</v>
      </c>
      <c r="AV480" s="117">
        <v>0</v>
      </c>
      <c r="AW480" s="117">
        <v>0</v>
      </c>
      <c r="AX480" s="117">
        <v>0</v>
      </c>
      <c r="AY480" s="117">
        <v>0</v>
      </c>
      <c r="AZ480" s="117">
        <v>0</v>
      </c>
      <c r="BA480" s="117">
        <v>0</v>
      </c>
    </row>
    <row r="481" spans="1:53" s="244" customFormat="1" x14ac:dyDescent="0.25">
      <c r="A481" s="211" t="s">
        <v>1382</v>
      </c>
      <c r="B481" s="212" t="s">
        <v>1383</v>
      </c>
      <c r="C481" s="238" t="s">
        <v>1384</v>
      </c>
      <c r="D481" s="246"/>
      <c r="E481" s="246"/>
      <c r="F481" s="241">
        <v>2008418.6900000004</v>
      </c>
      <c r="G481" s="241">
        <v>1846305.73</v>
      </c>
      <c r="H481" s="236">
        <f t="shared" si="120"/>
        <v>162112.96000000043</v>
      </c>
      <c r="I481" s="237">
        <f t="shared" si="121"/>
        <v>8.7803962998046062E-2</v>
      </c>
      <c r="J481" s="242"/>
      <c r="K481" s="241">
        <v>4085548.26</v>
      </c>
      <c r="L481" s="241">
        <v>3779778.060000001</v>
      </c>
      <c r="M481" s="236">
        <f t="shared" si="122"/>
        <v>305770.19999999879</v>
      </c>
      <c r="N481" s="237">
        <f t="shared" si="123"/>
        <v>8.0896337072235064E-2</v>
      </c>
      <c r="O481" s="148"/>
      <c r="P481" s="243"/>
      <c r="Q481" s="241">
        <v>6111411.7599999988</v>
      </c>
      <c r="R481" s="241">
        <v>5630834.7000000002</v>
      </c>
      <c r="S481" s="236">
        <f t="shared" si="124"/>
        <v>480577.05999999866</v>
      </c>
      <c r="T481" s="237">
        <f t="shared" si="125"/>
        <v>8.5347392634345778E-2</v>
      </c>
      <c r="U481" s="243"/>
      <c r="V481" s="241">
        <v>21605601.737</v>
      </c>
      <c r="W481" s="241">
        <v>22511213.183999997</v>
      </c>
      <c r="X481" s="236">
        <f t="shared" si="126"/>
        <v>-905611.4469999969</v>
      </c>
      <c r="Y481" s="232">
        <f t="shared" si="127"/>
        <v>-4.0229348795988773E-2</v>
      </c>
      <c r="AA481" s="241">
        <v>1851056.6400000001</v>
      </c>
      <c r="AB481" s="245"/>
      <c r="AC481" s="241">
        <v>1933472.33</v>
      </c>
      <c r="AD481" s="241">
        <v>1846305.73</v>
      </c>
      <c r="AE481" s="241">
        <v>2026815.9269999999</v>
      </c>
      <c r="AF481" s="241">
        <v>1768634.1900000002</v>
      </c>
      <c r="AG481" s="241">
        <v>1838686.45</v>
      </c>
      <c r="AH481" s="241">
        <v>1602795.6500000004</v>
      </c>
      <c r="AI481" s="241">
        <v>1957549.65</v>
      </c>
      <c r="AJ481" s="241">
        <v>1977430.3700000003</v>
      </c>
      <c r="AK481" s="241">
        <v>802421.46</v>
      </c>
      <c r="AL481" s="241">
        <v>1813661.75</v>
      </c>
      <c r="AM481" s="241">
        <v>1706194.53</v>
      </c>
      <c r="AN481" s="241">
        <v>2025863.5</v>
      </c>
      <c r="AO481" s="245"/>
      <c r="AP481" s="241">
        <v>2077129.5699999994</v>
      </c>
      <c r="AQ481" s="241">
        <v>2008418.6900000004</v>
      </c>
      <c r="AR481" s="241">
        <v>457061.71</v>
      </c>
      <c r="AS481" s="241">
        <v>-2115.9700000000003</v>
      </c>
      <c r="AT481" s="241">
        <v>0</v>
      </c>
      <c r="AU481" s="241">
        <v>0</v>
      </c>
      <c r="AV481" s="241">
        <v>0</v>
      </c>
      <c r="AW481" s="241">
        <v>0</v>
      </c>
      <c r="AX481" s="241">
        <v>0</v>
      </c>
      <c r="AY481" s="241">
        <v>0</v>
      </c>
      <c r="AZ481" s="241">
        <v>0</v>
      </c>
      <c r="BA481" s="241">
        <v>0</v>
      </c>
    </row>
    <row r="482" spans="1:53" s="244" customFormat="1" ht="0.75" customHeight="1" outlineLevel="2" x14ac:dyDescent="0.25">
      <c r="A482" s="211"/>
      <c r="B482" s="212"/>
      <c r="C482" s="238"/>
      <c r="D482" s="246"/>
      <c r="E482" s="246"/>
      <c r="F482" s="241"/>
      <c r="G482" s="241"/>
      <c r="H482" s="236"/>
      <c r="I482" s="237"/>
      <c r="J482" s="242"/>
      <c r="K482" s="241"/>
      <c r="L482" s="241"/>
      <c r="M482" s="236"/>
      <c r="N482" s="237"/>
      <c r="O482" s="148"/>
      <c r="P482" s="243"/>
      <c r="Q482" s="241"/>
      <c r="R482" s="241"/>
      <c r="S482" s="236"/>
      <c r="T482" s="237"/>
      <c r="U482" s="243"/>
      <c r="V482" s="241"/>
      <c r="W482" s="241"/>
      <c r="X482" s="236"/>
      <c r="Y482" s="232"/>
      <c r="AA482" s="241"/>
      <c r="AB482" s="245"/>
      <c r="AC482" s="241"/>
      <c r="AD482" s="241"/>
      <c r="AE482" s="241"/>
      <c r="AF482" s="241"/>
      <c r="AG482" s="241"/>
      <c r="AH482" s="241"/>
      <c r="AI482" s="241"/>
      <c r="AJ482" s="241"/>
      <c r="AK482" s="241"/>
      <c r="AL482" s="241"/>
      <c r="AM482" s="241"/>
      <c r="AN482" s="241"/>
      <c r="AO482" s="245"/>
      <c r="AP482" s="241"/>
      <c r="AQ482" s="241"/>
      <c r="AR482" s="241"/>
      <c r="AS482" s="241"/>
      <c r="AT482" s="241"/>
      <c r="AU482" s="241"/>
      <c r="AV482" s="241"/>
      <c r="AW482" s="241"/>
      <c r="AX482" s="241"/>
      <c r="AY482" s="241"/>
      <c r="AZ482" s="241"/>
      <c r="BA482" s="241"/>
    </row>
    <row r="483" spans="1:53" s="138" customFormat="1" outlineLevel="2" x14ac:dyDescent="0.25">
      <c r="A483" s="138" t="s">
        <v>1385</v>
      </c>
      <c r="B483" s="139" t="s">
        <v>1386</v>
      </c>
      <c r="C483" s="140" t="s">
        <v>1387</v>
      </c>
      <c r="D483" s="141"/>
      <c r="E483" s="142"/>
      <c r="F483" s="143">
        <v>573167.17000000004</v>
      </c>
      <c r="G483" s="143">
        <v>577852.06000000006</v>
      </c>
      <c r="H483" s="144">
        <f t="shared" ref="H483:H489" si="128">+F483-G483</f>
        <v>-4684.890000000014</v>
      </c>
      <c r="I483" s="145">
        <f t="shared" ref="I483:I489" si="129">IF(G483&lt;0,IF(H483=0,0,IF(OR(G483=0,F483=0),"N.M.",IF(ABS(H483/G483)&gt;=10,"N.M.",H483/(-G483)))),IF(H483=0,0,IF(OR(G483=0,F483=0),"N.M.",IF(ABS(H483/G483)&gt;=10,"N.M.",H483/G483))))</f>
        <v>-8.1074211278229467E-3</v>
      </c>
      <c r="J483" s="146"/>
      <c r="K483" s="143">
        <v>2324777.38</v>
      </c>
      <c r="L483" s="143">
        <v>3074948.52</v>
      </c>
      <c r="M483" s="144">
        <f t="shared" ref="M483:M489" si="130">+K483-L483</f>
        <v>-750171.14000000013</v>
      </c>
      <c r="N483" s="145">
        <f t="shared" ref="N483:N489" si="131">IF(L483&lt;0,IF(M483=0,0,IF(OR(L483=0,K483=0),"N.M.",IF(ABS(M483/L483)&gt;=10,"N.M.",M483/(-L483)))),IF(M483=0,0,IF(OR(L483=0,K483=0),"N.M.",IF(ABS(M483/L483)&gt;=10,"N.M.",M483/L483))))</f>
        <v>-0.24396217859283059</v>
      </c>
      <c r="O483" s="147"/>
      <c r="P483" s="146"/>
      <c r="Q483" s="143">
        <v>5093262.2699999996</v>
      </c>
      <c r="R483" s="143">
        <v>-10635417.98</v>
      </c>
      <c r="S483" s="144">
        <f t="shared" ref="S483:S489" si="132">+Q483-R483</f>
        <v>15728680.25</v>
      </c>
      <c r="T483" s="145">
        <f t="shared" ref="T483:T489" si="133">IF(R483&lt;0,IF(S483=0,0,IF(OR(R483=0,Q483=0),"N.M.",IF(ABS(S483/R483)&gt;=10,"N.M.",S483/(-R483)))),IF(S483=0,0,IF(OR(R483=0,Q483=0),"N.M.",IF(ABS(S483/R483)&gt;=10,"N.M.",S483/R483))))</f>
        <v>1.4788962953386435</v>
      </c>
      <c r="U483" s="146"/>
      <c r="V483" s="143">
        <v>3964151.7399999998</v>
      </c>
      <c r="W483" s="143">
        <v>-59626856.339999996</v>
      </c>
      <c r="X483" s="144">
        <f t="shared" ref="X483:X489" si="134">+V483-W483</f>
        <v>63591008.079999998</v>
      </c>
      <c r="Y483" s="145">
        <f t="shared" ref="Y483:Y489" si="135">IF(W483&lt;0,IF(X483=0,0,IF(OR(W483=0,V483=0),"N.M.",IF(ABS(X483/W483)&gt;=10,"N.M.",X483/(-W483)))),IF(X483=0,0,IF(OR(W483=0,V483=0),"N.M.",IF(ABS(X483/W483)&gt;=10,"N.M.",X483/W483))))</f>
        <v>1.0664826553557663</v>
      </c>
      <c r="Z483" s="148"/>
      <c r="AA483" s="149">
        <v>-13710366.5</v>
      </c>
      <c r="AB483" s="150"/>
      <c r="AC483" s="117">
        <v>2497096.46</v>
      </c>
      <c r="AD483" s="117">
        <v>577852.06000000006</v>
      </c>
      <c r="AE483" s="117">
        <v>-3360203.31</v>
      </c>
      <c r="AF483" s="117">
        <v>321879.09000000003</v>
      </c>
      <c r="AG483" s="117">
        <v>-285222.62</v>
      </c>
      <c r="AH483" s="117">
        <v>430229.58</v>
      </c>
      <c r="AI483" s="117">
        <v>783128.19000000006</v>
      </c>
      <c r="AJ483" s="117">
        <v>78238.03</v>
      </c>
      <c r="AK483" s="117">
        <v>-1337852.28</v>
      </c>
      <c r="AL483" s="117">
        <v>-2801774.77</v>
      </c>
      <c r="AM483" s="117">
        <v>5042467.5599999996</v>
      </c>
      <c r="AN483" s="117">
        <v>2768484.89</v>
      </c>
      <c r="AO483" s="150"/>
      <c r="AP483" s="117">
        <v>1751610.21</v>
      </c>
      <c r="AQ483" s="117">
        <v>573167.17000000004</v>
      </c>
      <c r="AR483" s="117">
        <v>0</v>
      </c>
      <c r="AS483" s="117">
        <v>0</v>
      </c>
      <c r="AT483" s="117">
        <v>0</v>
      </c>
      <c r="AU483" s="117">
        <v>0</v>
      </c>
      <c r="AV483" s="117">
        <v>0</v>
      </c>
      <c r="AW483" s="117">
        <v>0</v>
      </c>
      <c r="AX483" s="117">
        <v>0</v>
      </c>
      <c r="AY483" s="117">
        <v>0</v>
      </c>
      <c r="AZ483" s="117">
        <v>0</v>
      </c>
      <c r="BA483" s="117">
        <v>0</v>
      </c>
    </row>
    <row r="484" spans="1:53" s="259" customFormat="1" outlineLevel="2" x14ac:dyDescent="0.25">
      <c r="A484" s="248" t="s">
        <v>1388</v>
      </c>
      <c r="B484" s="249"/>
      <c r="C484" s="250" t="s">
        <v>1389</v>
      </c>
      <c r="D484" s="251"/>
      <c r="E484" s="251"/>
      <c r="F484" s="252">
        <v>573167.17000000004</v>
      </c>
      <c r="G484" s="252">
        <v>577852.06000000006</v>
      </c>
      <c r="H484" s="253">
        <f t="shared" si="128"/>
        <v>-4684.890000000014</v>
      </c>
      <c r="I484" s="254">
        <f t="shared" si="129"/>
        <v>-8.1074211278229467E-3</v>
      </c>
      <c r="J484" s="255"/>
      <c r="K484" s="252">
        <v>2324777.38</v>
      </c>
      <c r="L484" s="252">
        <v>3074948.52</v>
      </c>
      <c r="M484" s="253">
        <f t="shared" si="130"/>
        <v>-750171.14000000013</v>
      </c>
      <c r="N484" s="254">
        <f t="shared" si="131"/>
        <v>-0.24396217859283059</v>
      </c>
      <c r="O484" s="256"/>
      <c r="P484" s="257"/>
      <c r="Q484" s="252">
        <v>5093262.2699999996</v>
      </c>
      <c r="R484" s="252">
        <v>-10635417.98</v>
      </c>
      <c r="S484" s="253">
        <f t="shared" si="132"/>
        <v>15728680.25</v>
      </c>
      <c r="T484" s="254">
        <f t="shared" si="133"/>
        <v>1.4788962953386435</v>
      </c>
      <c r="U484" s="257"/>
      <c r="V484" s="252">
        <v>3964151.7399999998</v>
      </c>
      <c r="W484" s="252">
        <v>-59626856.339999996</v>
      </c>
      <c r="X484" s="253">
        <f t="shared" si="134"/>
        <v>63591008.079999998</v>
      </c>
      <c r="Y484" s="258">
        <f t="shared" si="135"/>
        <v>1.0664826553557663</v>
      </c>
      <c r="AA484" s="252">
        <v>-13710366.5</v>
      </c>
      <c r="AB484" s="245"/>
      <c r="AC484" s="252">
        <v>2497096.46</v>
      </c>
      <c r="AD484" s="252">
        <v>577852.06000000006</v>
      </c>
      <c r="AE484" s="252">
        <v>-3360203.31</v>
      </c>
      <c r="AF484" s="252">
        <v>321879.09000000003</v>
      </c>
      <c r="AG484" s="252">
        <v>-285222.62</v>
      </c>
      <c r="AH484" s="252">
        <v>430229.58</v>
      </c>
      <c r="AI484" s="252">
        <v>783128.19000000006</v>
      </c>
      <c r="AJ484" s="252">
        <v>78238.03</v>
      </c>
      <c r="AK484" s="252">
        <v>-1337852.28</v>
      </c>
      <c r="AL484" s="252">
        <v>-2801774.77</v>
      </c>
      <c r="AM484" s="252">
        <v>5042467.5599999996</v>
      </c>
      <c r="AN484" s="252">
        <v>2768484.89</v>
      </c>
      <c r="AO484" s="245"/>
      <c r="AP484" s="252">
        <v>1751610.21</v>
      </c>
      <c r="AQ484" s="252">
        <v>573167.17000000004</v>
      </c>
      <c r="AR484" s="252">
        <v>0</v>
      </c>
      <c r="AS484" s="252">
        <v>0</v>
      </c>
      <c r="AT484" s="252">
        <v>0</v>
      </c>
      <c r="AU484" s="252">
        <v>0</v>
      </c>
      <c r="AV484" s="252">
        <v>0</v>
      </c>
      <c r="AW484" s="252">
        <v>0</v>
      </c>
      <c r="AX484" s="252">
        <v>0</v>
      </c>
      <c r="AY484" s="252">
        <v>0</v>
      </c>
      <c r="AZ484" s="252">
        <v>0</v>
      </c>
      <c r="BA484" s="252">
        <v>0</v>
      </c>
    </row>
    <row r="485" spans="1:53" s="138" customFormat="1" outlineLevel="2" x14ac:dyDescent="0.25">
      <c r="A485" s="138" t="s">
        <v>1390</v>
      </c>
      <c r="B485" s="139" t="s">
        <v>1391</v>
      </c>
      <c r="C485" s="140" t="s">
        <v>1392</v>
      </c>
      <c r="D485" s="141"/>
      <c r="E485" s="142"/>
      <c r="F485" s="143">
        <v>98033.040000000008</v>
      </c>
      <c r="G485" s="143">
        <v>82471.11</v>
      </c>
      <c r="H485" s="144">
        <f t="shared" si="128"/>
        <v>15561.930000000008</v>
      </c>
      <c r="I485" s="145">
        <f t="shared" si="129"/>
        <v>0.18869553229003475</v>
      </c>
      <c r="J485" s="146"/>
      <c r="K485" s="143">
        <v>247201.57</v>
      </c>
      <c r="L485" s="143">
        <v>176913.77</v>
      </c>
      <c r="M485" s="144">
        <f t="shared" si="130"/>
        <v>70287.800000000017</v>
      </c>
      <c r="N485" s="145">
        <f t="shared" si="131"/>
        <v>0.39729976926047089</v>
      </c>
      <c r="O485" s="147"/>
      <c r="P485" s="146"/>
      <c r="Q485" s="143">
        <v>386072.99</v>
      </c>
      <c r="R485" s="143">
        <v>232834.84999999998</v>
      </c>
      <c r="S485" s="144">
        <f t="shared" si="132"/>
        <v>153238.14000000001</v>
      </c>
      <c r="T485" s="145">
        <f t="shared" si="133"/>
        <v>0.65814090974783213</v>
      </c>
      <c r="U485" s="146"/>
      <c r="V485" s="143">
        <v>1215902.01</v>
      </c>
      <c r="W485" s="143">
        <v>904758.22000000009</v>
      </c>
      <c r="X485" s="144">
        <f t="shared" si="134"/>
        <v>311143.78999999992</v>
      </c>
      <c r="Y485" s="145">
        <f t="shared" si="135"/>
        <v>0.34389716846120488</v>
      </c>
      <c r="Z485" s="148"/>
      <c r="AA485" s="149">
        <v>55921.08</v>
      </c>
      <c r="AB485" s="150"/>
      <c r="AC485" s="117">
        <v>94442.66</v>
      </c>
      <c r="AD485" s="117">
        <v>82471.11</v>
      </c>
      <c r="AE485" s="117">
        <v>81956.44</v>
      </c>
      <c r="AF485" s="117">
        <v>72617.600000000006</v>
      </c>
      <c r="AG485" s="117">
        <v>97037.47</v>
      </c>
      <c r="AH485" s="117">
        <v>99639.21</v>
      </c>
      <c r="AI485" s="117">
        <v>106163.8</v>
      </c>
      <c r="AJ485" s="117">
        <v>89837.59</v>
      </c>
      <c r="AK485" s="117">
        <v>93968.12</v>
      </c>
      <c r="AL485" s="117">
        <v>86681.290000000008</v>
      </c>
      <c r="AM485" s="117">
        <v>101927.5</v>
      </c>
      <c r="AN485" s="117">
        <v>138871.42000000001</v>
      </c>
      <c r="AO485" s="150"/>
      <c r="AP485" s="117">
        <v>149168.53</v>
      </c>
      <c r="AQ485" s="117">
        <v>98033.040000000008</v>
      </c>
      <c r="AR485" s="117">
        <v>24751.119999999999</v>
      </c>
      <c r="AS485" s="117">
        <v>0</v>
      </c>
      <c r="AT485" s="117">
        <v>0</v>
      </c>
      <c r="AU485" s="117">
        <v>0</v>
      </c>
      <c r="AV485" s="117">
        <v>0</v>
      </c>
      <c r="AW485" s="117">
        <v>0</v>
      </c>
      <c r="AX485" s="117">
        <v>0</v>
      </c>
      <c r="AY485" s="117">
        <v>0</v>
      </c>
      <c r="AZ485" s="117">
        <v>0</v>
      </c>
      <c r="BA485" s="117">
        <v>0</v>
      </c>
    </row>
    <row r="486" spans="1:53" s="138" customFormat="1" outlineLevel="2" x14ac:dyDescent="0.25">
      <c r="A486" s="138" t="s">
        <v>1393</v>
      </c>
      <c r="B486" s="139" t="s">
        <v>1394</v>
      </c>
      <c r="C486" s="140" t="s">
        <v>1395</v>
      </c>
      <c r="D486" s="141"/>
      <c r="E486" s="142"/>
      <c r="F486" s="143">
        <v>125257.79000000001</v>
      </c>
      <c r="G486" s="143">
        <v>171719.62</v>
      </c>
      <c r="H486" s="144">
        <f t="shared" si="128"/>
        <v>-46461.829999999987</v>
      </c>
      <c r="I486" s="145">
        <f t="shared" si="129"/>
        <v>-0.27056797586670639</v>
      </c>
      <c r="J486" s="146"/>
      <c r="K486" s="143">
        <v>278793.69</v>
      </c>
      <c r="L486" s="143">
        <v>324758.28000000003</v>
      </c>
      <c r="M486" s="144">
        <f t="shared" si="130"/>
        <v>-45964.590000000026</v>
      </c>
      <c r="N486" s="145">
        <f t="shared" si="131"/>
        <v>-0.14153477472537426</v>
      </c>
      <c r="O486" s="147"/>
      <c r="P486" s="146"/>
      <c r="Q486" s="143">
        <v>427200.56</v>
      </c>
      <c r="R486" s="143">
        <v>488911.66000000003</v>
      </c>
      <c r="S486" s="144">
        <f t="shared" si="132"/>
        <v>-61711.100000000035</v>
      </c>
      <c r="T486" s="145">
        <f t="shared" si="133"/>
        <v>-0.12622137095278119</v>
      </c>
      <c r="U486" s="146"/>
      <c r="V486" s="143">
        <v>1636590.19</v>
      </c>
      <c r="W486" s="143">
        <v>2075032.1700000002</v>
      </c>
      <c r="X486" s="144">
        <f t="shared" si="134"/>
        <v>-438441.98000000021</v>
      </c>
      <c r="Y486" s="145">
        <f t="shared" si="135"/>
        <v>-0.21129406393733172</v>
      </c>
      <c r="Z486" s="148"/>
      <c r="AA486" s="149">
        <v>164153.38</v>
      </c>
      <c r="AB486" s="150"/>
      <c r="AC486" s="117">
        <v>153038.66</v>
      </c>
      <c r="AD486" s="117">
        <v>171719.62</v>
      </c>
      <c r="AE486" s="117">
        <v>152859.59</v>
      </c>
      <c r="AF486" s="117">
        <v>129431.2</v>
      </c>
      <c r="AG486" s="117">
        <v>119665.79000000001</v>
      </c>
      <c r="AH486" s="117">
        <v>147917.47</v>
      </c>
      <c r="AI486" s="117">
        <v>133391.62</v>
      </c>
      <c r="AJ486" s="117">
        <v>149633.83000000002</v>
      </c>
      <c r="AK486" s="117">
        <v>148628.01</v>
      </c>
      <c r="AL486" s="117">
        <v>115661.74</v>
      </c>
      <c r="AM486" s="117">
        <v>112200.38</v>
      </c>
      <c r="AN486" s="117">
        <v>148406.87</v>
      </c>
      <c r="AO486" s="150"/>
      <c r="AP486" s="117">
        <v>153535.9</v>
      </c>
      <c r="AQ486" s="117">
        <v>125257.79000000001</v>
      </c>
      <c r="AR486" s="117">
        <v>0</v>
      </c>
      <c r="AS486" s="117">
        <v>0</v>
      </c>
      <c r="AT486" s="117">
        <v>0</v>
      </c>
      <c r="AU486" s="117">
        <v>0</v>
      </c>
      <c r="AV486" s="117">
        <v>0</v>
      </c>
      <c r="AW486" s="117">
        <v>0</v>
      </c>
      <c r="AX486" s="117">
        <v>0</v>
      </c>
      <c r="AY486" s="117">
        <v>0</v>
      </c>
      <c r="AZ486" s="117">
        <v>0</v>
      </c>
      <c r="BA486" s="117">
        <v>0</v>
      </c>
    </row>
    <row r="487" spans="1:53" s="259" customFormat="1" outlineLevel="2" x14ac:dyDescent="0.25">
      <c r="A487" s="211" t="s">
        <v>1396</v>
      </c>
      <c r="B487" s="249"/>
      <c r="C487" s="260" t="s">
        <v>1397</v>
      </c>
      <c r="D487" s="251"/>
      <c r="E487" s="251"/>
      <c r="F487" s="252">
        <v>223290.83000000002</v>
      </c>
      <c r="G487" s="252">
        <v>254190.72999999998</v>
      </c>
      <c r="H487" s="253">
        <f t="shared" si="128"/>
        <v>-30899.899999999965</v>
      </c>
      <c r="I487" s="254">
        <f t="shared" si="129"/>
        <v>-0.1215618681294946</v>
      </c>
      <c r="J487" s="255"/>
      <c r="K487" s="252">
        <v>525995.26</v>
      </c>
      <c r="L487" s="252">
        <v>501672.05000000005</v>
      </c>
      <c r="M487" s="253">
        <f t="shared" si="130"/>
        <v>24323.209999999963</v>
      </c>
      <c r="N487" s="254">
        <f t="shared" si="131"/>
        <v>4.8484283706855827E-2</v>
      </c>
      <c r="O487" s="261"/>
      <c r="P487" s="262"/>
      <c r="Q487" s="252">
        <v>813273.55</v>
      </c>
      <c r="R487" s="252">
        <v>721746.51</v>
      </c>
      <c r="S487" s="253">
        <f t="shared" si="132"/>
        <v>91527.040000000037</v>
      </c>
      <c r="T487" s="254">
        <f t="shared" si="133"/>
        <v>0.12681327686641677</v>
      </c>
      <c r="U487" s="262"/>
      <c r="V487" s="252">
        <v>2852492.1999999997</v>
      </c>
      <c r="W487" s="252">
        <v>2979790.3900000006</v>
      </c>
      <c r="X487" s="253">
        <f t="shared" si="134"/>
        <v>-127298.19000000088</v>
      </c>
      <c r="Y487" s="258">
        <f t="shared" si="135"/>
        <v>-4.2720518338204602E-2</v>
      </c>
      <c r="AA487" s="252">
        <v>220074.46000000002</v>
      </c>
      <c r="AB487" s="245"/>
      <c r="AC487" s="252">
        <v>247481.32</v>
      </c>
      <c r="AD487" s="252">
        <v>254190.72999999998</v>
      </c>
      <c r="AE487" s="252">
        <v>234816.03</v>
      </c>
      <c r="AF487" s="252">
        <v>202048.8</v>
      </c>
      <c r="AG487" s="252">
        <v>216703.26</v>
      </c>
      <c r="AH487" s="252">
        <v>247556.68</v>
      </c>
      <c r="AI487" s="252">
        <v>239555.41999999998</v>
      </c>
      <c r="AJ487" s="252">
        <v>239471.42</v>
      </c>
      <c r="AK487" s="252">
        <v>242596.13</v>
      </c>
      <c r="AL487" s="252">
        <v>202343.03000000003</v>
      </c>
      <c r="AM487" s="252">
        <v>214127.88</v>
      </c>
      <c r="AN487" s="252">
        <v>287278.29000000004</v>
      </c>
      <c r="AO487" s="245"/>
      <c r="AP487" s="252">
        <v>302704.43</v>
      </c>
      <c r="AQ487" s="252">
        <v>223290.83000000002</v>
      </c>
      <c r="AR487" s="252">
        <v>24751.119999999999</v>
      </c>
      <c r="AS487" s="252">
        <v>0</v>
      </c>
      <c r="AT487" s="252">
        <v>0</v>
      </c>
      <c r="AU487" s="252">
        <v>0</v>
      </c>
      <c r="AV487" s="252">
        <v>0</v>
      </c>
      <c r="AW487" s="252">
        <v>0</v>
      </c>
      <c r="AX487" s="252">
        <v>0</v>
      </c>
      <c r="AY487" s="252">
        <v>0</v>
      </c>
      <c r="AZ487" s="252">
        <v>0</v>
      </c>
      <c r="BA487" s="252">
        <v>0</v>
      </c>
    </row>
    <row r="488" spans="1:53" s="259" customFormat="1" outlineLevel="2" x14ac:dyDescent="0.25">
      <c r="A488" s="211"/>
      <c r="B488" s="249"/>
      <c r="C488" s="250" t="s">
        <v>1398</v>
      </c>
      <c r="D488" s="251"/>
      <c r="E488" s="251"/>
      <c r="F488" s="252">
        <f>F487*0.35</f>
        <v>78151.790500000003</v>
      </c>
      <c r="G488" s="252">
        <f>G487*0.35</f>
        <v>88966.755499999985</v>
      </c>
      <c r="H488" s="253">
        <f t="shared" si="128"/>
        <v>-10814.964999999982</v>
      </c>
      <c r="I488" s="254">
        <f t="shared" si="129"/>
        <v>-0.12156186812949454</v>
      </c>
      <c r="J488" s="255"/>
      <c r="K488" s="252">
        <f>K487*0.35</f>
        <v>184098.34099999999</v>
      </c>
      <c r="L488" s="252">
        <f>L487*0.35</f>
        <v>175585.2175</v>
      </c>
      <c r="M488" s="253">
        <f t="shared" si="130"/>
        <v>8513.123499999987</v>
      </c>
      <c r="N488" s="254">
        <f t="shared" si="131"/>
        <v>4.8484283706855827E-2</v>
      </c>
      <c r="O488" s="261"/>
      <c r="P488" s="262"/>
      <c r="Q488" s="252">
        <f>Q487*0.35</f>
        <v>284645.74249999999</v>
      </c>
      <c r="R488" s="252">
        <f>R487*0.35</f>
        <v>252611.27849999999</v>
      </c>
      <c r="S488" s="253">
        <f t="shared" si="132"/>
        <v>32034.464000000007</v>
      </c>
      <c r="T488" s="254">
        <f t="shared" si="133"/>
        <v>0.12681327686641675</v>
      </c>
      <c r="U488" s="262"/>
      <c r="V488" s="252">
        <f>V487*0.35</f>
        <v>998372.26999999979</v>
      </c>
      <c r="W488" s="252">
        <f>W487*0.35</f>
        <v>1042926.6365000001</v>
      </c>
      <c r="X488" s="253">
        <f t="shared" si="134"/>
        <v>-44554.366500000353</v>
      </c>
      <c r="Y488" s="258">
        <f t="shared" si="135"/>
        <v>-4.2720518338204651E-2</v>
      </c>
      <c r="AA488" s="252">
        <f>AA487*0.35</f>
        <v>77026.061000000002</v>
      </c>
      <c r="AB488" s="245"/>
      <c r="AC488" s="252">
        <f t="shared" ref="AC488:AN488" si="136">AC487*0.35</f>
        <v>86618.462</v>
      </c>
      <c r="AD488" s="252">
        <f t="shared" si="136"/>
        <v>88966.755499999985</v>
      </c>
      <c r="AE488" s="252">
        <f t="shared" si="136"/>
        <v>82185.610499999995</v>
      </c>
      <c r="AF488" s="252">
        <f t="shared" si="136"/>
        <v>70717.079999999987</v>
      </c>
      <c r="AG488" s="252">
        <f t="shared" si="136"/>
        <v>75846.141000000003</v>
      </c>
      <c r="AH488" s="252">
        <f t="shared" si="136"/>
        <v>86644.837999999989</v>
      </c>
      <c r="AI488" s="252">
        <f t="shared" si="136"/>
        <v>83844.396999999983</v>
      </c>
      <c r="AJ488" s="252">
        <f t="shared" si="136"/>
        <v>83814.997000000003</v>
      </c>
      <c r="AK488" s="252">
        <f t="shared" si="136"/>
        <v>84908.645499999999</v>
      </c>
      <c r="AL488" s="252">
        <f t="shared" si="136"/>
        <v>70820.060500000007</v>
      </c>
      <c r="AM488" s="252">
        <f t="shared" si="136"/>
        <v>74944.758000000002</v>
      </c>
      <c r="AN488" s="252">
        <f t="shared" si="136"/>
        <v>100547.40150000001</v>
      </c>
      <c r="AO488" s="245"/>
      <c r="AP488" s="252">
        <f t="shared" ref="AP488:BA488" si="137">AP487*0.35</f>
        <v>105946.5505</v>
      </c>
      <c r="AQ488" s="252">
        <f t="shared" si="137"/>
        <v>78151.790500000003</v>
      </c>
      <c r="AR488" s="252">
        <f t="shared" si="137"/>
        <v>8662.8919999999998</v>
      </c>
      <c r="AS488" s="252">
        <f t="shared" si="137"/>
        <v>0</v>
      </c>
      <c r="AT488" s="252">
        <f t="shared" si="137"/>
        <v>0</v>
      </c>
      <c r="AU488" s="252">
        <f t="shared" si="137"/>
        <v>0</v>
      </c>
      <c r="AV488" s="252">
        <f t="shared" si="137"/>
        <v>0</v>
      </c>
      <c r="AW488" s="252">
        <f t="shared" si="137"/>
        <v>0</v>
      </c>
      <c r="AX488" s="252">
        <f t="shared" si="137"/>
        <v>0</v>
      </c>
      <c r="AY488" s="252">
        <f t="shared" si="137"/>
        <v>0</v>
      </c>
      <c r="AZ488" s="252">
        <f t="shared" si="137"/>
        <v>0</v>
      </c>
      <c r="BA488" s="252">
        <f t="shared" si="137"/>
        <v>0</v>
      </c>
    </row>
    <row r="489" spans="1:53" s="244" customFormat="1" x14ac:dyDescent="0.25">
      <c r="A489" s="211"/>
      <c r="B489" s="212" t="s">
        <v>1399</v>
      </c>
      <c r="C489" s="238" t="s">
        <v>1400</v>
      </c>
      <c r="D489" s="246"/>
      <c r="E489" s="246"/>
      <c r="F489" s="241">
        <f>F484+F488</f>
        <v>651318.96050000004</v>
      </c>
      <c r="G489" s="241">
        <f>G484+G488</f>
        <v>666818.81550000003</v>
      </c>
      <c r="H489" s="236">
        <f t="shared" si="128"/>
        <v>-15499.854999999981</v>
      </c>
      <c r="I489" s="237">
        <f t="shared" si="129"/>
        <v>-2.3244477569784441E-2</v>
      </c>
      <c r="J489" s="242"/>
      <c r="K489" s="241">
        <f>K484+K488</f>
        <v>2508875.7209999999</v>
      </c>
      <c r="L489" s="241">
        <f>L484+L488</f>
        <v>3250533.7374999998</v>
      </c>
      <c r="M489" s="236">
        <f t="shared" si="130"/>
        <v>-741658.01649999991</v>
      </c>
      <c r="N489" s="237">
        <f t="shared" si="131"/>
        <v>-0.22816499578017377</v>
      </c>
      <c r="O489" s="181"/>
      <c r="P489" s="263"/>
      <c r="Q489" s="241">
        <f>Q484+Q488</f>
        <v>5377908.0124999993</v>
      </c>
      <c r="R489" s="241">
        <f>R484+R488</f>
        <v>-10382806.7015</v>
      </c>
      <c r="S489" s="236">
        <f t="shared" si="132"/>
        <v>15760714.714</v>
      </c>
      <c r="T489" s="237">
        <f t="shared" si="133"/>
        <v>1.517962836746547</v>
      </c>
      <c r="U489" s="263"/>
      <c r="V489" s="241">
        <f>V484+V488</f>
        <v>4962524.01</v>
      </c>
      <c r="W489" s="241">
        <f>W484+W488</f>
        <v>-58583929.703499995</v>
      </c>
      <c r="X489" s="236">
        <f t="shared" si="134"/>
        <v>63546453.713499993</v>
      </c>
      <c r="Y489" s="232">
        <f t="shared" si="135"/>
        <v>1.0847079401316351</v>
      </c>
      <c r="AA489" s="241">
        <f>AA484+AA488</f>
        <v>-13633340.438999999</v>
      </c>
      <c r="AB489" s="245"/>
      <c r="AC489" s="241">
        <f t="shared" ref="AC489:AN489" si="138">AC484+AC488</f>
        <v>2583714.9219999998</v>
      </c>
      <c r="AD489" s="241">
        <f t="shared" si="138"/>
        <v>666818.81550000003</v>
      </c>
      <c r="AE489" s="241">
        <f t="shared" si="138"/>
        <v>-3278017.6995000001</v>
      </c>
      <c r="AF489" s="241">
        <f t="shared" si="138"/>
        <v>392596.17000000004</v>
      </c>
      <c r="AG489" s="241">
        <f t="shared" si="138"/>
        <v>-209376.47899999999</v>
      </c>
      <c r="AH489" s="241">
        <f t="shared" si="138"/>
        <v>516874.41800000001</v>
      </c>
      <c r="AI489" s="241">
        <f t="shared" si="138"/>
        <v>866972.58700000006</v>
      </c>
      <c r="AJ489" s="241">
        <f t="shared" si="138"/>
        <v>162053.027</v>
      </c>
      <c r="AK489" s="241">
        <f t="shared" si="138"/>
        <v>-1252943.6344999999</v>
      </c>
      <c r="AL489" s="241">
        <f t="shared" si="138"/>
        <v>-2730954.7094999999</v>
      </c>
      <c r="AM489" s="241">
        <f t="shared" si="138"/>
        <v>5117412.318</v>
      </c>
      <c r="AN489" s="241">
        <f t="shared" si="138"/>
        <v>2869032.2915000003</v>
      </c>
      <c r="AO489" s="245"/>
      <c r="AP489" s="241">
        <f t="shared" ref="AP489:BA489" si="139">AP484+AP488</f>
        <v>1857556.7604999999</v>
      </c>
      <c r="AQ489" s="241">
        <f t="shared" si="139"/>
        <v>651318.96050000004</v>
      </c>
      <c r="AR489" s="241">
        <f t="shared" si="139"/>
        <v>8662.8919999999998</v>
      </c>
      <c r="AS489" s="241">
        <f t="shared" si="139"/>
        <v>0</v>
      </c>
      <c r="AT489" s="241">
        <f t="shared" si="139"/>
        <v>0</v>
      </c>
      <c r="AU489" s="241">
        <f t="shared" si="139"/>
        <v>0</v>
      </c>
      <c r="AV489" s="241">
        <f t="shared" si="139"/>
        <v>0</v>
      </c>
      <c r="AW489" s="241">
        <f t="shared" si="139"/>
        <v>0</v>
      </c>
      <c r="AX489" s="241">
        <f t="shared" si="139"/>
        <v>0</v>
      </c>
      <c r="AY489" s="241">
        <f t="shared" si="139"/>
        <v>0</v>
      </c>
      <c r="AZ489" s="241">
        <f t="shared" si="139"/>
        <v>0</v>
      </c>
      <c r="BA489" s="241">
        <f t="shared" si="139"/>
        <v>0</v>
      </c>
    </row>
    <row r="490" spans="1:53" s="244" customFormat="1" ht="0.75" customHeight="1" outlineLevel="2" x14ac:dyDescent="0.25">
      <c r="A490" s="211"/>
      <c r="B490" s="212"/>
      <c r="C490" s="238"/>
      <c r="D490" s="246"/>
      <c r="E490" s="246"/>
      <c r="F490" s="241"/>
      <c r="G490" s="241"/>
      <c r="H490" s="236"/>
      <c r="I490" s="237"/>
      <c r="J490" s="242"/>
      <c r="K490" s="241"/>
      <c r="L490" s="241"/>
      <c r="M490" s="236"/>
      <c r="N490" s="237"/>
      <c r="O490" s="181"/>
      <c r="P490" s="263"/>
      <c r="Q490" s="241"/>
      <c r="R490" s="241"/>
      <c r="S490" s="236"/>
      <c r="T490" s="237"/>
      <c r="U490" s="263"/>
      <c r="V490" s="241"/>
      <c r="W490" s="241"/>
      <c r="X490" s="236"/>
      <c r="Y490" s="232"/>
      <c r="AA490" s="241"/>
      <c r="AB490" s="245"/>
      <c r="AC490" s="241"/>
      <c r="AD490" s="241"/>
      <c r="AE490" s="241"/>
      <c r="AF490" s="241"/>
      <c r="AG490" s="241"/>
      <c r="AH490" s="241"/>
      <c r="AI490" s="241"/>
      <c r="AJ490" s="241"/>
      <c r="AK490" s="241"/>
      <c r="AL490" s="241"/>
      <c r="AM490" s="241"/>
      <c r="AN490" s="241"/>
      <c r="AO490" s="245"/>
      <c r="AP490" s="241"/>
      <c r="AQ490" s="241"/>
      <c r="AR490" s="241"/>
      <c r="AS490" s="241"/>
      <c r="AT490" s="241"/>
      <c r="AU490" s="241"/>
      <c r="AV490" s="241"/>
      <c r="AW490" s="241"/>
      <c r="AX490" s="241"/>
      <c r="AY490" s="241"/>
      <c r="AZ490" s="241"/>
      <c r="BA490" s="241"/>
    </row>
    <row r="491" spans="1:53" s="138" customFormat="1" outlineLevel="2" x14ac:dyDescent="0.25">
      <c r="A491" s="138" t="s">
        <v>1401</v>
      </c>
      <c r="B491" s="139" t="s">
        <v>1402</v>
      </c>
      <c r="C491" s="140" t="s">
        <v>1403</v>
      </c>
      <c r="D491" s="141"/>
      <c r="E491" s="142"/>
      <c r="F491" s="143">
        <v>0</v>
      </c>
      <c r="G491" s="143">
        <v>0</v>
      </c>
      <c r="H491" s="144">
        <f t="shared" ref="H491:H497" si="140">+F491-G491</f>
        <v>0</v>
      </c>
      <c r="I491" s="145">
        <f t="shared" ref="I491:I497" si="141">IF(G491&lt;0,IF(H491=0,0,IF(OR(G491=0,F491=0),"N.M.",IF(ABS(H491/G491)&gt;=10,"N.M.",H491/(-G491)))),IF(H491=0,0,IF(OR(G491=0,F491=0),"N.M.",IF(ABS(H491/G491)&gt;=10,"N.M.",H491/G491))))</f>
        <v>0</v>
      </c>
      <c r="J491" s="146"/>
      <c r="K491" s="143">
        <v>0</v>
      </c>
      <c r="L491" s="143">
        <v>0</v>
      </c>
      <c r="M491" s="144">
        <f t="shared" ref="M491:M497" si="142">+K491-L491</f>
        <v>0</v>
      </c>
      <c r="N491" s="145">
        <f t="shared" ref="N491:N497" si="143">IF(L491&lt;0,IF(M491=0,0,IF(OR(L491=0,K491=0),"N.M.",IF(ABS(M491/L491)&gt;=10,"N.M.",M491/(-L491)))),IF(M491=0,0,IF(OR(L491=0,K491=0),"N.M.",IF(ABS(M491/L491)&gt;=10,"N.M.",M491/L491))))</f>
        <v>0</v>
      </c>
      <c r="O491" s="147"/>
      <c r="P491" s="146"/>
      <c r="Q491" s="143">
        <v>0</v>
      </c>
      <c r="R491" s="143">
        <v>0</v>
      </c>
      <c r="S491" s="144">
        <f t="shared" ref="S491:S497" si="144">+Q491-R491</f>
        <v>0</v>
      </c>
      <c r="T491" s="145">
        <f t="shared" ref="T491:T497" si="145">IF(R491&lt;0,IF(S491=0,0,IF(OR(R491=0,Q491=0),"N.M.",IF(ABS(S491/R491)&gt;=10,"N.M.",S491/(-R491)))),IF(S491=0,0,IF(OR(R491=0,Q491=0),"N.M.",IF(ABS(S491/R491)&gt;=10,"N.M.",S491/R491))))</f>
        <v>0</v>
      </c>
      <c r="U491" s="146"/>
      <c r="V491" s="143">
        <v>0</v>
      </c>
      <c r="W491" s="143">
        <v>-1833</v>
      </c>
      <c r="X491" s="144">
        <f t="shared" ref="X491:X497" si="146">+V491-W491</f>
        <v>1833</v>
      </c>
      <c r="Y491" s="145" t="str">
        <f t="shared" ref="Y491:Y497" si="147">IF(W491&lt;0,IF(X491=0,0,IF(OR(W491=0,V491=0),"N.M.",IF(ABS(X491/W491)&gt;=10,"N.M.",X491/(-W491)))),IF(X491=0,0,IF(OR(W491=0,V491=0),"N.M.",IF(ABS(X491/W491)&gt;=10,"N.M.",X491/W491))))</f>
        <v>N.M.</v>
      </c>
      <c r="Z491" s="148"/>
      <c r="AA491" s="149">
        <v>0</v>
      </c>
      <c r="AB491" s="150"/>
      <c r="AC491" s="117">
        <v>0</v>
      </c>
      <c r="AD491" s="117">
        <v>0</v>
      </c>
      <c r="AE491" s="117">
        <v>0</v>
      </c>
      <c r="AF491" s="117">
        <v>0</v>
      </c>
      <c r="AG491" s="117">
        <v>0</v>
      </c>
      <c r="AH491" s="117">
        <v>0</v>
      </c>
      <c r="AI491" s="117">
        <v>0</v>
      </c>
      <c r="AJ491" s="117">
        <v>0</v>
      </c>
      <c r="AK491" s="117">
        <v>0</v>
      </c>
      <c r="AL491" s="117">
        <v>0</v>
      </c>
      <c r="AM491" s="117">
        <v>0</v>
      </c>
      <c r="AN491" s="117">
        <v>0</v>
      </c>
      <c r="AO491" s="150"/>
      <c r="AP491" s="117">
        <v>0</v>
      </c>
      <c r="AQ491" s="117">
        <v>0</v>
      </c>
      <c r="AR491" s="117">
        <v>0</v>
      </c>
      <c r="AS491" s="117">
        <v>0</v>
      </c>
      <c r="AT491" s="117">
        <v>0</v>
      </c>
      <c r="AU491" s="117">
        <v>0</v>
      </c>
      <c r="AV491" s="117">
        <v>0</v>
      </c>
      <c r="AW491" s="117">
        <v>0</v>
      </c>
      <c r="AX491" s="117">
        <v>0</v>
      </c>
      <c r="AY491" s="117">
        <v>0</v>
      </c>
      <c r="AZ491" s="117">
        <v>0</v>
      </c>
      <c r="BA491" s="117">
        <v>0</v>
      </c>
    </row>
    <row r="492" spans="1:53" s="138" customFormat="1" outlineLevel="2" x14ac:dyDescent="0.25">
      <c r="A492" s="138" t="s">
        <v>1404</v>
      </c>
      <c r="B492" s="139" t="s">
        <v>1405</v>
      </c>
      <c r="C492" s="140" t="s">
        <v>1403</v>
      </c>
      <c r="D492" s="141"/>
      <c r="E492" s="142"/>
      <c r="F492" s="143">
        <v>0</v>
      </c>
      <c r="G492" s="143">
        <v>0</v>
      </c>
      <c r="H492" s="144">
        <f t="shared" si="140"/>
        <v>0</v>
      </c>
      <c r="I492" s="145">
        <f t="shared" si="141"/>
        <v>0</v>
      </c>
      <c r="J492" s="146"/>
      <c r="K492" s="143">
        <v>0</v>
      </c>
      <c r="L492" s="143">
        <v>0</v>
      </c>
      <c r="M492" s="144">
        <f t="shared" si="142"/>
        <v>0</v>
      </c>
      <c r="N492" s="145">
        <f t="shared" si="143"/>
        <v>0</v>
      </c>
      <c r="O492" s="147"/>
      <c r="P492" s="146"/>
      <c r="Q492" s="143">
        <v>0</v>
      </c>
      <c r="R492" s="143">
        <v>0</v>
      </c>
      <c r="S492" s="144">
        <f t="shared" si="144"/>
        <v>0</v>
      </c>
      <c r="T492" s="145">
        <f t="shared" si="145"/>
        <v>0</v>
      </c>
      <c r="U492" s="146"/>
      <c r="V492" s="143">
        <v>22590</v>
      </c>
      <c r="W492" s="143">
        <v>0</v>
      </c>
      <c r="X492" s="144">
        <f t="shared" si="146"/>
        <v>22590</v>
      </c>
      <c r="Y492" s="145" t="str">
        <f t="shared" si="147"/>
        <v>N.M.</v>
      </c>
      <c r="Z492" s="148"/>
      <c r="AA492" s="149">
        <v>0</v>
      </c>
      <c r="AB492" s="150"/>
      <c r="AC492" s="117">
        <v>0</v>
      </c>
      <c r="AD492" s="117">
        <v>0</v>
      </c>
      <c r="AE492" s="117">
        <v>0</v>
      </c>
      <c r="AF492" s="117">
        <v>0</v>
      </c>
      <c r="AG492" s="117">
        <v>0</v>
      </c>
      <c r="AH492" s="117">
        <v>0</v>
      </c>
      <c r="AI492" s="117">
        <v>0</v>
      </c>
      <c r="AJ492" s="117">
        <v>0</v>
      </c>
      <c r="AK492" s="117">
        <v>22590</v>
      </c>
      <c r="AL492" s="117">
        <v>0</v>
      </c>
      <c r="AM492" s="117">
        <v>0</v>
      </c>
      <c r="AN492" s="117">
        <v>0</v>
      </c>
      <c r="AO492" s="150"/>
      <c r="AP492" s="117">
        <v>0</v>
      </c>
      <c r="AQ492" s="117">
        <v>0</v>
      </c>
      <c r="AR492" s="117">
        <v>0</v>
      </c>
      <c r="AS492" s="117">
        <v>0</v>
      </c>
      <c r="AT492" s="117">
        <v>0</v>
      </c>
      <c r="AU492" s="117">
        <v>0</v>
      </c>
      <c r="AV492" s="117">
        <v>0</v>
      </c>
      <c r="AW492" s="117">
        <v>0</v>
      </c>
      <c r="AX492" s="117">
        <v>0</v>
      </c>
      <c r="AY492" s="117">
        <v>0</v>
      </c>
      <c r="AZ492" s="117">
        <v>0</v>
      </c>
      <c r="BA492" s="117">
        <v>0</v>
      </c>
    </row>
    <row r="493" spans="1:53" s="138" customFormat="1" outlineLevel="2" x14ac:dyDescent="0.25">
      <c r="A493" s="138" t="s">
        <v>1406</v>
      </c>
      <c r="B493" s="139" t="s">
        <v>1407</v>
      </c>
      <c r="C493" s="140" t="s">
        <v>1403</v>
      </c>
      <c r="D493" s="141"/>
      <c r="E493" s="142"/>
      <c r="F493" s="143">
        <v>0</v>
      </c>
      <c r="G493" s="143">
        <v>0</v>
      </c>
      <c r="H493" s="144">
        <f t="shared" si="140"/>
        <v>0</v>
      </c>
      <c r="I493" s="145">
        <f t="shared" si="141"/>
        <v>0</v>
      </c>
      <c r="J493" s="146"/>
      <c r="K493" s="143">
        <v>0</v>
      </c>
      <c r="L493" s="143">
        <v>0</v>
      </c>
      <c r="M493" s="144">
        <f t="shared" si="142"/>
        <v>0</v>
      </c>
      <c r="N493" s="145">
        <f t="shared" si="143"/>
        <v>0</v>
      </c>
      <c r="O493" s="147"/>
      <c r="P493" s="146"/>
      <c r="Q493" s="143">
        <v>0</v>
      </c>
      <c r="R493" s="143">
        <v>0.01</v>
      </c>
      <c r="S493" s="144">
        <f t="shared" si="144"/>
        <v>-0.01</v>
      </c>
      <c r="T493" s="145" t="str">
        <f t="shared" si="145"/>
        <v>N.M.</v>
      </c>
      <c r="U493" s="146"/>
      <c r="V493" s="143">
        <v>0</v>
      </c>
      <c r="W493" s="143">
        <v>91280.34</v>
      </c>
      <c r="X493" s="144">
        <f t="shared" si="146"/>
        <v>-91280.34</v>
      </c>
      <c r="Y493" s="145" t="str">
        <f t="shared" si="147"/>
        <v>N.M.</v>
      </c>
      <c r="Z493" s="148"/>
      <c r="AA493" s="149">
        <v>0.01</v>
      </c>
      <c r="AB493" s="150"/>
      <c r="AC493" s="117">
        <v>0</v>
      </c>
      <c r="AD493" s="117">
        <v>0</v>
      </c>
      <c r="AE493" s="117">
        <v>0</v>
      </c>
      <c r="AF493" s="117">
        <v>0</v>
      </c>
      <c r="AG493" s="117">
        <v>0</v>
      </c>
      <c r="AH493" s="117">
        <v>0</v>
      </c>
      <c r="AI493" s="117">
        <v>0</v>
      </c>
      <c r="AJ493" s="117">
        <v>0</v>
      </c>
      <c r="AK493" s="117">
        <v>0</v>
      </c>
      <c r="AL493" s="117">
        <v>0</v>
      </c>
      <c r="AM493" s="117">
        <v>0</v>
      </c>
      <c r="AN493" s="117">
        <v>0</v>
      </c>
      <c r="AO493" s="150"/>
      <c r="AP493" s="117">
        <v>0</v>
      </c>
      <c r="AQ493" s="117">
        <v>0</v>
      </c>
      <c r="AR493" s="117">
        <v>0</v>
      </c>
      <c r="AS493" s="117">
        <v>0</v>
      </c>
      <c r="AT493" s="117">
        <v>0</v>
      </c>
      <c r="AU493" s="117">
        <v>0</v>
      </c>
      <c r="AV493" s="117">
        <v>0</v>
      </c>
      <c r="AW493" s="117">
        <v>0</v>
      </c>
      <c r="AX493" s="117">
        <v>0</v>
      </c>
      <c r="AY493" s="117">
        <v>0</v>
      </c>
      <c r="AZ493" s="117">
        <v>0</v>
      </c>
      <c r="BA493" s="117">
        <v>0</v>
      </c>
    </row>
    <row r="494" spans="1:53" s="138" customFormat="1" outlineLevel="2" x14ac:dyDescent="0.25">
      <c r="A494" s="138" t="s">
        <v>1408</v>
      </c>
      <c r="B494" s="139" t="s">
        <v>1409</v>
      </c>
      <c r="C494" s="140" t="s">
        <v>1403</v>
      </c>
      <c r="D494" s="141"/>
      <c r="E494" s="142"/>
      <c r="F494" s="143">
        <v>0</v>
      </c>
      <c r="G494" s="143">
        <v>0</v>
      </c>
      <c r="H494" s="144">
        <f t="shared" si="140"/>
        <v>0</v>
      </c>
      <c r="I494" s="145">
        <f t="shared" si="141"/>
        <v>0</v>
      </c>
      <c r="J494" s="146"/>
      <c r="K494" s="143">
        <v>0</v>
      </c>
      <c r="L494" s="143">
        <v>0</v>
      </c>
      <c r="M494" s="144">
        <f t="shared" si="142"/>
        <v>0</v>
      </c>
      <c r="N494" s="145">
        <f t="shared" si="143"/>
        <v>0</v>
      </c>
      <c r="O494" s="147"/>
      <c r="P494" s="146"/>
      <c r="Q494" s="143">
        <v>-0.01</v>
      </c>
      <c r="R494" s="143">
        <v>6004790.8899999997</v>
      </c>
      <c r="S494" s="144">
        <f t="shared" si="144"/>
        <v>-6004790.8999999994</v>
      </c>
      <c r="T494" s="145">
        <f t="shared" si="145"/>
        <v>-1.000000001665337</v>
      </c>
      <c r="U494" s="146"/>
      <c r="V494" s="143">
        <v>1539889.82</v>
      </c>
      <c r="W494" s="143">
        <v>-965471.55</v>
      </c>
      <c r="X494" s="144">
        <f t="shared" si="146"/>
        <v>2505361.37</v>
      </c>
      <c r="Y494" s="145">
        <f t="shared" si="147"/>
        <v>2.5949613636983919</v>
      </c>
      <c r="Z494" s="148"/>
      <c r="AA494" s="149">
        <v>6004790.8899999997</v>
      </c>
      <c r="AB494" s="150"/>
      <c r="AC494" s="117">
        <v>0</v>
      </c>
      <c r="AD494" s="117">
        <v>0</v>
      </c>
      <c r="AE494" s="117">
        <v>0</v>
      </c>
      <c r="AF494" s="117">
        <v>0</v>
      </c>
      <c r="AG494" s="117">
        <v>0</v>
      </c>
      <c r="AH494" s="117">
        <v>0</v>
      </c>
      <c r="AI494" s="117">
        <v>0</v>
      </c>
      <c r="AJ494" s="117">
        <v>0</v>
      </c>
      <c r="AK494" s="117">
        <v>0</v>
      </c>
      <c r="AL494" s="117">
        <v>0</v>
      </c>
      <c r="AM494" s="117">
        <v>1539889.83</v>
      </c>
      <c r="AN494" s="117">
        <v>-0.01</v>
      </c>
      <c r="AO494" s="150"/>
      <c r="AP494" s="117">
        <v>0</v>
      </c>
      <c r="AQ494" s="117">
        <v>0</v>
      </c>
      <c r="AR494" s="117">
        <v>0</v>
      </c>
      <c r="AS494" s="117">
        <v>0</v>
      </c>
      <c r="AT494" s="117">
        <v>0</v>
      </c>
      <c r="AU494" s="117">
        <v>0</v>
      </c>
      <c r="AV494" s="117">
        <v>0</v>
      </c>
      <c r="AW494" s="117">
        <v>0</v>
      </c>
      <c r="AX494" s="117">
        <v>0</v>
      </c>
      <c r="AY494" s="117">
        <v>0</v>
      </c>
      <c r="AZ494" s="117">
        <v>0</v>
      </c>
      <c r="BA494" s="117">
        <v>0</v>
      </c>
    </row>
    <row r="495" spans="1:53" s="138" customFormat="1" outlineLevel="2" x14ac:dyDescent="0.25">
      <c r="A495" s="138" t="s">
        <v>1410</v>
      </c>
      <c r="B495" s="139" t="s">
        <v>1411</v>
      </c>
      <c r="C495" s="140" t="s">
        <v>1403</v>
      </c>
      <c r="D495" s="141"/>
      <c r="E495" s="142"/>
      <c r="F495" s="143">
        <v>0</v>
      </c>
      <c r="G495" s="143">
        <v>272733.99</v>
      </c>
      <c r="H495" s="144">
        <f t="shared" si="140"/>
        <v>-272733.99</v>
      </c>
      <c r="I495" s="145" t="str">
        <f t="shared" si="141"/>
        <v>N.M.</v>
      </c>
      <c r="J495" s="146"/>
      <c r="K495" s="143">
        <v>0</v>
      </c>
      <c r="L495" s="143">
        <v>927990.25</v>
      </c>
      <c r="M495" s="144">
        <f t="shared" si="142"/>
        <v>-927990.25</v>
      </c>
      <c r="N495" s="145" t="str">
        <f t="shared" si="143"/>
        <v>N.M.</v>
      </c>
      <c r="O495" s="147"/>
      <c r="P495" s="146"/>
      <c r="Q495" s="143">
        <v>-498819.01</v>
      </c>
      <c r="R495" s="143">
        <v>927990.25</v>
      </c>
      <c r="S495" s="144">
        <f t="shared" si="144"/>
        <v>-1426809.26</v>
      </c>
      <c r="T495" s="145">
        <f t="shared" si="145"/>
        <v>-1.5375261324135678</v>
      </c>
      <c r="U495" s="146"/>
      <c r="V495" s="143">
        <v>-2394009.16</v>
      </c>
      <c r="W495" s="143">
        <v>927990.25</v>
      </c>
      <c r="X495" s="144">
        <f t="shared" si="146"/>
        <v>-3321999.41</v>
      </c>
      <c r="Y495" s="145">
        <f t="shared" si="147"/>
        <v>-3.5797783543523223</v>
      </c>
      <c r="Z495" s="148"/>
      <c r="AA495" s="149">
        <v>0</v>
      </c>
      <c r="AB495" s="150"/>
      <c r="AC495" s="117">
        <v>655256.26</v>
      </c>
      <c r="AD495" s="117">
        <v>272733.99</v>
      </c>
      <c r="AE495" s="117">
        <v>-802042.56</v>
      </c>
      <c r="AF495" s="117">
        <v>217004.14</v>
      </c>
      <c r="AG495" s="117">
        <v>103316.06</v>
      </c>
      <c r="AH495" s="117">
        <v>-1910726.08</v>
      </c>
      <c r="AI495" s="117">
        <v>327051.64</v>
      </c>
      <c r="AJ495" s="117">
        <v>196182.26</v>
      </c>
      <c r="AK495" s="117">
        <v>-484253.91000000003</v>
      </c>
      <c r="AL495" s="117">
        <v>-370721.08</v>
      </c>
      <c r="AM495" s="117">
        <v>828999.38</v>
      </c>
      <c r="AN495" s="117">
        <v>-498819.01</v>
      </c>
      <c r="AO495" s="150"/>
      <c r="AP495" s="117">
        <v>0</v>
      </c>
      <c r="AQ495" s="117">
        <v>0</v>
      </c>
      <c r="AR495" s="117">
        <v>0</v>
      </c>
      <c r="AS495" s="117">
        <v>0</v>
      </c>
      <c r="AT495" s="117">
        <v>0</v>
      </c>
      <c r="AU495" s="117">
        <v>0</v>
      </c>
      <c r="AV495" s="117">
        <v>0</v>
      </c>
      <c r="AW495" s="117">
        <v>0</v>
      </c>
      <c r="AX495" s="117">
        <v>0</v>
      </c>
      <c r="AY495" s="117">
        <v>0</v>
      </c>
      <c r="AZ495" s="117">
        <v>0</v>
      </c>
      <c r="BA495" s="117">
        <v>0</v>
      </c>
    </row>
    <row r="496" spans="1:53" s="138" customFormat="1" outlineLevel="2" x14ac:dyDescent="0.25">
      <c r="A496" s="138" t="s">
        <v>1412</v>
      </c>
      <c r="B496" s="139" t="s">
        <v>1413</v>
      </c>
      <c r="C496" s="140" t="s">
        <v>1403</v>
      </c>
      <c r="D496" s="141"/>
      <c r="E496" s="142"/>
      <c r="F496" s="143">
        <v>285607.51</v>
      </c>
      <c r="G496" s="143">
        <v>0</v>
      </c>
      <c r="H496" s="144">
        <f t="shared" si="140"/>
        <v>285607.51</v>
      </c>
      <c r="I496" s="145" t="str">
        <f t="shared" si="141"/>
        <v>N.M.</v>
      </c>
      <c r="J496" s="146"/>
      <c r="K496" s="143">
        <v>732746.84</v>
      </c>
      <c r="L496" s="143">
        <v>0</v>
      </c>
      <c r="M496" s="144">
        <f t="shared" si="142"/>
        <v>732746.84</v>
      </c>
      <c r="N496" s="145" t="str">
        <f t="shared" si="143"/>
        <v>N.M.</v>
      </c>
      <c r="O496" s="147"/>
      <c r="P496" s="146"/>
      <c r="Q496" s="143">
        <v>732746.84</v>
      </c>
      <c r="R496" s="143">
        <v>0</v>
      </c>
      <c r="S496" s="144">
        <f t="shared" si="144"/>
        <v>732746.84</v>
      </c>
      <c r="T496" s="145" t="str">
        <f t="shared" si="145"/>
        <v>N.M.</v>
      </c>
      <c r="U496" s="146"/>
      <c r="V496" s="143">
        <v>732746.84</v>
      </c>
      <c r="W496" s="143">
        <v>0</v>
      </c>
      <c r="X496" s="144">
        <f t="shared" si="146"/>
        <v>732746.84</v>
      </c>
      <c r="Y496" s="145" t="str">
        <f t="shared" si="147"/>
        <v>N.M.</v>
      </c>
      <c r="Z496" s="148"/>
      <c r="AA496" s="149">
        <v>0</v>
      </c>
      <c r="AB496" s="150"/>
      <c r="AC496" s="117">
        <v>0</v>
      </c>
      <c r="AD496" s="117">
        <v>0</v>
      </c>
      <c r="AE496" s="117">
        <v>0</v>
      </c>
      <c r="AF496" s="117">
        <v>0</v>
      </c>
      <c r="AG496" s="117">
        <v>0</v>
      </c>
      <c r="AH496" s="117">
        <v>0</v>
      </c>
      <c r="AI496" s="117">
        <v>0</v>
      </c>
      <c r="AJ496" s="117">
        <v>0</v>
      </c>
      <c r="AK496" s="117">
        <v>0</v>
      </c>
      <c r="AL496" s="117">
        <v>0</v>
      </c>
      <c r="AM496" s="117">
        <v>0</v>
      </c>
      <c r="AN496" s="117">
        <v>0</v>
      </c>
      <c r="AO496" s="150"/>
      <c r="AP496" s="117">
        <v>447139.33</v>
      </c>
      <c r="AQ496" s="117">
        <v>285607.51</v>
      </c>
      <c r="AR496" s="117">
        <v>0</v>
      </c>
      <c r="AS496" s="117">
        <v>0</v>
      </c>
      <c r="AT496" s="117">
        <v>0</v>
      </c>
      <c r="AU496" s="117">
        <v>0</v>
      </c>
      <c r="AV496" s="117">
        <v>0</v>
      </c>
      <c r="AW496" s="117">
        <v>0</v>
      </c>
      <c r="AX496" s="117">
        <v>0</v>
      </c>
      <c r="AY496" s="117">
        <v>0</v>
      </c>
      <c r="AZ496" s="117">
        <v>0</v>
      </c>
      <c r="BA496" s="117">
        <v>0</v>
      </c>
    </row>
    <row r="497" spans="1:53" s="244" customFormat="1" x14ac:dyDescent="0.25">
      <c r="A497" s="211" t="s">
        <v>1414</v>
      </c>
      <c r="B497" s="212" t="s">
        <v>1415</v>
      </c>
      <c r="C497" s="238" t="s">
        <v>1416</v>
      </c>
      <c r="D497" s="246"/>
      <c r="E497" s="246"/>
      <c r="F497" s="241">
        <v>285607.51</v>
      </c>
      <c r="G497" s="241">
        <v>272733.99</v>
      </c>
      <c r="H497" s="236">
        <f t="shared" si="140"/>
        <v>12873.520000000019</v>
      </c>
      <c r="I497" s="237">
        <f t="shared" si="141"/>
        <v>4.7201744087709857E-2</v>
      </c>
      <c r="J497" s="242"/>
      <c r="K497" s="241">
        <v>732746.84</v>
      </c>
      <c r="L497" s="241">
        <v>927990.25</v>
      </c>
      <c r="M497" s="236">
        <f t="shared" si="142"/>
        <v>-195243.41000000003</v>
      </c>
      <c r="N497" s="237">
        <f t="shared" si="143"/>
        <v>-0.21039381609882218</v>
      </c>
      <c r="O497" s="148"/>
      <c r="P497" s="243"/>
      <c r="Q497" s="241">
        <v>233927.81999999995</v>
      </c>
      <c r="R497" s="241">
        <v>6932781.1499999994</v>
      </c>
      <c r="S497" s="236">
        <f t="shared" si="144"/>
        <v>-6698853.3299999991</v>
      </c>
      <c r="T497" s="237">
        <f t="shared" si="145"/>
        <v>-0.96625772328036053</v>
      </c>
      <c r="U497" s="243"/>
      <c r="V497" s="241">
        <v>-98782.500000000116</v>
      </c>
      <c r="W497" s="241">
        <v>51966.039999999921</v>
      </c>
      <c r="X497" s="236">
        <f t="shared" si="146"/>
        <v>-150748.54000000004</v>
      </c>
      <c r="Y497" s="232">
        <f t="shared" si="147"/>
        <v>-2.900904898660746</v>
      </c>
      <c r="AA497" s="241">
        <v>6004790.8999999994</v>
      </c>
      <c r="AB497" s="245"/>
      <c r="AC497" s="241">
        <v>655256.26</v>
      </c>
      <c r="AD497" s="241">
        <v>272733.99</v>
      </c>
      <c r="AE497" s="241">
        <v>-802042.56</v>
      </c>
      <c r="AF497" s="241">
        <v>217004.14</v>
      </c>
      <c r="AG497" s="241">
        <v>103316.06</v>
      </c>
      <c r="AH497" s="241">
        <v>-1910726.08</v>
      </c>
      <c r="AI497" s="241">
        <v>327051.64</v>
      </c>
      <c r="AJ497" s="241">
        <v>196182.26</v>
      </c>
      <c r="AK497" s="241">
        <v>-461663.91000000003</v>
      </c>
      <c r="AL497" s="241">
        <v>-370721.08</v>
      </c>
      <c r="AM497" s="241">
        <v>2368889.21</v>
      </c>
      <c r="AN497" s="241">
        <v>-498819.02</v>
      </c>
      <c r="AO497" s="245"/>
      <c r="AP497" s="241">
        <v>447139.33</v>
      </c>
      <c r="AQ497" s="241">
        <v>285607.51</v>
      </c>
      <c r="AR497" s="241">
        <v>0</v>
      </c>
      <c r="AS497" s="241">
        <v>0</v>
      </c>
      <c r="AT497" s="241">
        <v>0</v>
      </c>
      <c r="AU497" s="241">
        <v>0</v>
      </c>
      <c r="AV497" s="241">
        <v>0</v>
      </c>
      <c r="AW497" s="241">
        <v>0</v>
      </c>
      <c r="AX497" s="241">
        <v>0</v>
      </c>
      <c r="AY497" s="241">
        <v>0</v>
      </c>
      <c r="AZ497" s="241">
        <v>0</v>
      </c>
      <c r="BA497" s="241">
        <v>0</v>
      </c>
    </row>
    <row r="498" spans="1:53" s="244" customFormat="1" ht="0.75" customHeight="1" outlineLevel="2" x14ac:dyDescent="0.25">
      <c r="A498" s="211"/>
      <c r="B498" s="212"/>
      <c r="C498" s="238"/>
      <c r="D498" s="246"/>
      <c r="E498" s="246"/>
      <c r="F498" s="241"/>
      <c r="G498" s="241"/>
      <c r="H498" s="236"/>
      <c r="I498" s="237"/>
      <c r="J498" s="242"/>
      <c r="K498" s="241"/>
      <c r="L498" s="241"/>
      <c r="M498" s="236"/>
      <c r="N498" s="237"/>
      <c r="O498" s="148"/>
      <c r="P498" s="243"/>
      <c r="Q498" s="241"/>
      <c r="R498" s="241"/>
      <c r="S498" s="236"/>
      <c r="T498" s="237"/>
      <c r="U498" s="243"/>
      <c r="V498" s="241"/>
      <c r="W498" s="241"/>
      <c r="X498" s="236"/>
      <c r="Y498" s="232"/>
      <c r="AA498" s="241"/>
      <c r="AB498" s="245"/>
      <c r="AC498" s="241"/>
      <c r="AD498" s="241"/>
      <c r="AE498" s="241"/>
      <c r="AF498" s="241"/>
      <c r="AG498" s="241"/>
      <c r="AH498" s="241"/>
      <c r="AI498" s="241"/>
      <c r="AJ498" s="241"/>
      <c r="AK498" s="241"/>
      <c r="AL498" s="241"/>
      <c r="AM498" s="241"/>
      <c r="AN498" s="241"/>
      <c r="AO498" s="245"/>
      <c r="AP498" s="241"/>
      <c r="AQ498" s="241"/>
      <c r="AR498" s="241"/>
      <c r="AS498" s="241"/>
      <c r="AT498" s="241"/>
      <c r="AU498" s="241"/>
      <c r="AV498" s="241"/>
      <c r="AW498" s="241"/>
      <c r="AX498" s="241"/>
      <c r="AY498" s="241"/>
      <c r="AZ498" s="241"/>
      <c r="BA498" s="241"/>
    </row>
    <row r="499" spans="1:53" s="138" customFormat="1" outlineLevel="2" x14ac:dyDescent="0.25">
      <c r="A499" s="138" t="s">
        <v>1417</v>
      </c>
      <c r="B499" s="139" t="s">
        <v>1418</v>
      </c>
      <c r="C499" s="140" t="s">
        <v>1419</v>
      </c>
      <c r="D499" s="141"/>
      <c r="E499" s="142"/>
      <c r="F499" s="143">
        <v>2883178.62</v>
      </c>
      <c r="G499" s="143">
        <v>5053911.76</v>
      </c>
      <c r="H499" s="144">
        <f>+F499-G499</f>
        <v>-2170733.1399999997</v>
      </c>
      <c r="I499" s="145">
        <f>IF(G499&lt;0,IF(H499=0,0,IF(OR(G499=0,F499=0),"N.M.",IF(ABS(H499/G499)&gt;=10,"N.M.",H499/(-G499)))),IF(H499=0,0,IF(OR(G499=0,F499=0),"N.M.",IF(ABS(H499/G499)&gt;=10,"N.M.",H499/G499))))</f>
        <v>-0.42951544132222835</v>
      </c>
      <c r="J499" s="146"/>
      <c r="K499" s="143">
        <v>6363217.9000000004</v>
      </c>
      <c r="L499" s="143">
        <v>10557844.42</v>
      </c>
      <c r="M499" s="144">
        <f>+K499-L499</f>
        <v>-4194626.5199999996</v>
      </c>
      <c r="N499" s="145">
        <f>IF(L499&lt;0,IF(M499=0,0,IF(OR(L499=0,K499=0),"N.M.",IF(ABS(M499/L499)&gt;=10,"N.M.",M499/(-L499)))),IF(M499=0,0,IF(OR(L499=0,K499=0),"N.M.",IF(ABS(M499/L499)&gt;=10,"N.M.",M499/L499))))</f>
        <v>-0.3972995199715208</v>
      </c>
      <c r="O499" s="147"/>
      <c r="P499" s="146"/>
      <c r="Q499" s="143">
        <v>21781058.800000001</v>
      </c>
      <c r="R499" s="143">
        <v>141903939.25999999</v>
      </c>
      <c r="S499" s="144">
        <f>+Q499-R499</f>
        <v>-120122880.45999999</v>
      </c>
      <c r="T499" s="145">
        <f>IF(R499&lt;0,IF(S499=0,0,IF(OR(R499=0,Q499=0),"N.M.",IF(ABS(S499/R499)&gt;=10,"N.M.",S499/(-R499)))),IF(S499=0,0,IF(OR(R499=0,Q499=0),"N.M.",IF(ABS(S499/R499)&gt;=10,"N.M.",S499/R499))))</f>
        <v>-0.84650842736583798</v>
      </c>
      <c r="U499" s="146"/>
      <c r="V499" s="143">
        <v>105032784.59</v>
      </c>
      <c r="W499" s="143">
        <v>277571222.36000001</v>
      </c>
      <c r="X499" s="144">
        <f>+V499-W499</f>
        <v>-172538437.77000001</v>
      </c>
      <c r="Y499" s="145">
        <f>IF(W499&lt;0,IF(X499=0,0,IF(OR(W499=0,V499=0),"N.M.",IF(ABS(X499/W499)&gt;=10,"N.M.",X499/(-W499)))),IF(X499=0,0,IF(OR(W499=0,V499=0),"N.M.",IF(ABS(X499/W499)&gt;=10,"N.M.",X499/W499))))</f>
        <v>-0.62160059786826094</v>
      </c>
      <c r="Z499" s="148"/>
      <c r="AA499" s="149">
        <v>131346094.84</v>
      </c>
      <c r="AB499" s="150"/>
      <c r="AC499" s="117">
        <v>5503932.6600000001</v>
      </c>
      <c r="AD499" s="117">
        <v>5053911.76</v>
      </c>
      <c r="AE499" s="117">
        <v>24246835.73</v>
      </c>
      <c r="AF499" s="117">
        <v>3412704.87</v>
      </c>
      <c r="AG499" s="117">
        <v>3525060.9699999997</v>
      </c>
      <c r="AH499" s="117">
        <v>6258087.1399999997</v>
      </c>
      <c r="AI499" s="117">
        <v>3766126.06</v>
      </c>
      <c r="AJ499" s="117">
        <v>6606933.6299999999</v>
      </c>
      <c r="AK499" s="117">
        <v>5099193.68</v>
      </c>
      <c r="AL499" s="117">
        <v>6739378.75</v>
      </c>
      <c r="AM499" s="117">
        <v>23597404.960000001</v>
      </c>
      <c r="AN499" s="117">
        <v>15417840.9</v>
      </c>
      <c r="AO499" s="150"/>
      <c r="AP499" s="117">
        <v>3480039.2800000003</v>
      </c>
      <c r="AQ499" s="117">
        <v>2883178.62</v>
      </c>
      <c r="AR499" s="117">
        <v>0</v>
      </c>
      <c r="AS499" s="117">
        <v>0</v>
      </c>
      <c r="AT499" s="117">
        <v>0</v>
      </c>
      <c r="AU499" s="117">
        <v>0</v>
      </c>
      <c r="AV499" s="117">
        <v>0</v>
      </c>
      <c r="AW499" s="117">
        <v>0</v>
      </c>
      <c r="AX499" s="117">
        <v>0</v>
      </c>
      <c r="AY499" s="117">
        <v>0</v>
      </c>
      <c r="AZ499" s="117">
        <v>0</v>
      </c>
      <c r="BA499" s="117">
        <v>0</v>
      </c>
    </row>
    <row r="500" spans="1:53" s="138" customFormat="1" outlineLevel="2" x14ac:dyDescent="0.25">
      <c r="A500" s="138" t="s">
        <v>1420</v>
      </c>
      <c r="B500" s="139" t="s">
        <v>1421</v>
      </c>
      <c r="C500" s="140" t="s">
        <v>1422</v>
      </c>
      <c r="D500" s="141"/>
      <c r="E500" s="142"/>
      <c r="F500" s="143">
        <v>0</v>
      </c>
      <c r="G500" s="143">
        <v>0</v>
      </c>
      <c r="H500" s="144">
        <f>+F500-G500</f>
        <v>0</v>
      </c>
      <c r="I500" s="145">
        <f>IF(G500&lt;0,IF(H500=0,0,IF(OR(G500=0,F500=0),"N.M.",IF(ABS(H500/G500)&gt;=10,"N.M.",H500/(-G500)))),IF(H500=0,0,IF(OR(G500=0,F500=0),"N.M.",IF(ABS(H500/G500)&gt;=10,"N.M.",H500/G500))))</f>
        <v>0</v>
      </c>
      <c r="J500" s="146"/>
      <c r="K500" s="143">
        <v>0</v>
      </c>
      <c r="L500" s="143">
        <v>0</v>
      </c>
      <c r="M500" s="144">
        <f>+K500-L500</f>
        <v>0</v>
      </c>
      <c r="N500" s="145">
        <f>IF(L500&lt;0,IF(M500=0,0,IF(OR(L500=0,K500=0),"N.M.",IF(ABS(M500/L500)&gt;=10,"N.M.",M500/(-L500)))),IF(M500=0,0,IF(OR(L500=0,K500=0),"N.M.",IF(ABS(M500/L500)&gt;=10,"N.M.",M500/L500))))</f>
        <v>0</v>
      </c>
      <c r="O500" s="147"/>
      <c r="P500" s="146"/>
      <c r="Q500" s="143">
        <v>1032732.71</v>
      </c>
      <c r="R500" s="143">
        <v>0</v>
      </c>
      <c r="S500" s="144">
        <f>+Q500-R500</f>
        <v>1032732.71</v>
      </c>
      <c r="T500" s="145" t="str">
        <f>IF(R500&lt;0,IF(S500=0,0,IF(OR(R500=0,Q500=0),"N.M.",IF(ABS(S500/R500)&gt;=10,"N.M.",S500/(-R500)))),IF(S500=0,0,IF(OR(R500=0,Q500=0),"N.M.",IF(ABS(S500/R500)&gt;=10,"N.M.",S500/R500))))</f>
        <v>N.M.</v>
      </c>
      <c r="U500" s="146"/>
      <c r="V500" s="143">
        <v>6319133.7000000002</v>
      </c>
      <c r="W500" s="143">
        <v>4723865</v>
      </c>
      <c r="X500" s="144">
        <f>+V500-W500</f>
        <v>1595268.7000000002</v>
      </c>
      <c r="Y500" s="145">
        <f>IF(W500&lt;0,IF(X500=0,0,IF(OR(W500=0,V500=0),"N.M.",IF(ABS(X500/W500)&gt;=10,"N.M.",X500/(-W500)))),IF(X500=0,0,IF(OR(W500=0,V500=0),"N.M.",IF(ABS(X500/W500)&gt;=10,"N.M.",X500/W500))))</f>
        <v>0.33770412575295866</v>
      </c>
      <c r="Z500" s="148"/>
      <c r="AA500" s="149">
        <v>0</v>
      </c>
      <c r="AB500" s="150"/>
      <c r="AC500" s="117">
        <v>0</v>
      </c>
      <c r="AD500" s="117">
        <v>0</v>
      </c>
      <c r="AE500" s="117">
        <v>262081.24000000002</v>
      </c>
      <c r="AF500" s="117">
        <v>0</v>
      </c>
      <c r="AG500" s="117">
        <v>0</v>
      </c>
      <c r="AH500" s="117">
        <v>4844539.17</v>
      </c>
      <c r="AI500" s="117">
        <v>0</v>
      </c>
      <c r="AJ500" s="117">
        <v>0</v>
      </c>
      <c r="AK500" s="117">
        <v>179780.58000000002</v>
      </c>
      <c r="AL500" s="117">
        <v>0</v>
      </c>
      <c r="AM500" s="117">
        <v>0</v>
      </c>
      <c r="AN500" s="117">
        <v>1032732.71</v>
      </c>
      <c r="AO500" s="150"/>
      <c r="AP500" s="117">
        <v>0</v>
      </c>
      <c r="AQ500" s="117">
        <v>0</v>
      </c>
      <c r="AR500" s="117">
        <v>0</v>
      </c>
      <c r="AS500" s="117">
        <v>0</v>
      </c>
      <c r="AT500" s="117">
        <v>0</v>
      </c>
      <c r="AU500" s="117">
        <v>0</v>
      </c>
      <c r="AV500" s="117">
        <v>0</v>
      </c>
      <c r="AW500" s="117">
        <v>0</v>
      </c>
      <c r="AX500" s="117">
        <v>0</v>
      </c>
      <c r="AY500" s="117">
        <v>0</v>
      </c>
      <c r="AZ500" s="117">
        <v>0</v>
      </c>
      <c r="BA500" s="117">
        <v>0</v>
      </c>
    </row>
    <row r="501" spans="1:53" s="244" customFormat="1" x14ac:dyDescent="0.25">
      <c r="A501" s="211" t="s">
        <v>1423</v>
      </c>
      <c r="B501" s="212" t="s">
        <v>1424</v>
      </c>
      <c r="C501" s="238" t="s">
        <v>1425</v>
      </c>
      <c r="D501" s="246"/>
      <c r="E501" s="246"/>
      <c r="F501" s="241">
        <v>2883178.62</v>
      </c>
      <c r="G501" s="241">
        <v>5053911.76</v>
      </c>
      <c r="H501" s="236">
        <f>+F501-G501</f>
        <v>-2170733.1399999997</v>
      </c>
      <c r="I501" s="237">
        <f>IF(G501&lt;0,IF(H501=0,0,IF(OR(G501=0,F501=0),"N.M.",IF(ABS(H501/G501)&gt;=10,"N.M.",H501/(-G501)))),IF(H501=0,0,IF(OR(G501=0,F501=0),"N.M.",IF(ABS(H501/G501)&gt;=10,"N.M.",H501/G501))))</f>
        <v>-0.42951544132222835</v>
      </c>
      <c r="J501" s="242"/>
      <c r="K501" s="241">
        <v>6363217.9000000004</v>
      </c>
      <c r="L501" s="241">
        <v>10557844.42</v>
      </c>
      <c r="M501" s="236">
        <f>+K501-L501</f>
        <v>-4194626.5199999996</v>
      </c>
      <c r="N501" s="237">
        <f>IF(L501&lt;0,IF(M501=0,0,IF(OR(L501=0,K501=0),"N.M.",IF(ABS(M501/L501)&gt;=10,"N.M.",M501/(-L501)))),IF(M501=0,0,IF(OR(L501=0,K501=0),"N.M.",IF(ABS(M501/L501)&gt;=10,"N.M.",M501/L501))))</f>
        <v>-0.3972995199715208</v>
      </c>
      <c r="O501" s="148"/>
      <c r="P501" s="243"/>
      <c r="Q501" s="241">
        <v>22813791.509999998</v>
      </c>
      <c r="R501" s="241">
        <v>141903939.25999999</v>
      </c>
      <c r="S501" s="236">
        <f>+Q501-R501</f>
        <v>-119090147.75</v>
      </c>
      <c r="T501" s="237">
        <f>IF(R501&lt;0,IF(S501=0,0,IF(OR(R501=0,Q501=0),"N.M.",IF(ABS(S501/R501)&gt;=10,"N.M.",S501/(-R501)))),IF(S501=0,0,IF(OR(R501=0,Q501=0),"N.M.",IF(ABS(S501/R501)&gt;=10,"N.M.",S501/R501))))</f>
        <v>-0.83923073856180985</v>
      </c>
      <c r="U501" s="243"/>
      <c r="V501" s="241">
        <v>111351918.29000001</v>
      </c>
      <c r="W501" s="241">
        <v>282295087.36000001</v>
      </c>
      <c r="X501" s="236">
        <f>+V501-W501</f>
        <v>-170943169.06999999</v>
      </c>
      <c r="Y501" s="232">
        <f>IF(W501&lt;0,IF(X501=0,0,IF(OR(W501=0,V501=0),"N.M.",IF(ABS(X501/W501)&gt;=10,"N.M.",X501/(-W501)))),IF(X501=0,0,IF(OR(W501=0,V501=0),"N.M.",IF(ABS(X501/W501)&gt;=10,"N.M.",X501/W501))))</f>
        <v>-0.60554779988786267</v>
      </c>
      <c r="AA501" s="241">
        <v>131346094.84</v>
      </c>
      <c r="AB501" s="245"/>
      <c r="AC501" s="241">
        <v>5503932.6600000001</v>
      </c>
      <c r="AD501" s="241">
        <v>5053911.76</v>
      </c>
      <c r="AE501" s="241">
        <v>24508916.969999999</v>
      </c>
      <c r="AF501" s="241">
        <v>3412704.87</v>
      </c>
      <c r="AG501" s="241">
        <v>3525060.9699999997</v>
      </c>
      <c r="AH501" s="241">
        <v>11102626.309999999</v>
      </c>
      <c r="AI501" s="241">
        <v>3766126.06</v>
      </c>
      <c r="AJ501" s="241">
        <v>6606933.6299999999</v>
      </c>
      <c r="AK501" s="241">
        <v>5278974.26</v>
      </c>
      <c r="AL501" s="241">
        <v>6739378.75</v>
      </c>
      <c r="AM501" s="241">
        <v>23597404.960000001</v>
      </c>
      <c r="AN501" s="241">
        <v>16450573.609999999</v>
      </c>
      <c r="AO501" s="245"/>
      <c r="AP501" s="241">
        <v>3480039.2800000003</v>
      </c>
      <c r="AQ501" s="241">
        <v>2883178.62</v>
      </c>
      <c r="AR501" s="241">
        <v>0</v>
      </c>
      <c r="AS501" s="241">
        <v>0</v>
      </c>
      <c r="AT501" s="241">
        <v>0</v>
      </c>
      <c r="AU501" s="241">
        <v>0</v>
      </c>
      <c r="AV501" s="241">
        <v>0</v>
      </c>
      <c r="AW501" s="241">
        <v>0</v>
      </c>
      <c r="AX501" s="241">
        <v>0</v>
      </c>
      <c r="AY501" s="241">
        <v>0</v>
      </c>
      <c r="AZ501" s="241">
        <v>0</v>
      </c>
      <c r="BA501" s="241">
        <v>0</v>
      </c>
    </row>
    <row r="502" spans="1:53" s="244" customFormat="1" ht="0.75" customHeight="1" outlineLevel="2" x14ac:dyDescent="0.25">
      <c r="A502" s="211"/>
      <c r="B502" s="212"/>
      <c r="C502" s="238"/>
      <c r="D502" s="246"/>
      <c r="E502" s="246"/>
      <c r="F502" s="241"/>
      <c r="G502" s="241"/>
      <c r="H502" s="236"/>
      <c r="I502" s="237"/>
      <c r="J502" s="242"/>
      <c r="K502" s="241"/>
      <c r="L502" s="241"/>
      <c r="M502" s="236"/>
      <c r="N502" s="237"/>
      <c r="O502" s="148"/>
      <c r="P502" s="243"/>
      <c r="Q502" s="241"/>
      <c r="R502" s="241"/>
      <c r="S502" s="236"/>
      <c r="T502" s="237"/>
      <c r="U502" s="243"/>
      <c r="V502" s="241"/>
      <c r="W502" s="241"/>
      <c r="X502" s="236"/>
      <c r="Y502" s="232"/>
      <c r="AA502" s="241"/>
      <c r="AB502" s="245"/>
      <c r="AC502" s="241"/>
      <c r="AD502" s="241"/>
      <c r="AE502" s="241"/>
      <c r="AF502" s="241"/>
      <c r="AG502" s="241"/>
      <c r="AH502" s="241"/>
      <c r="AI502" s="241"/>
      <c r="AJ502" s="241"/>
      <c r="AK502" s="241"/>
      <c r="AL502" s="241"/>
      <c r="AM502" s="241"/>
      <c r="AN502" s="241"/>
      <c r="AO502" s="245"/>
      <c r="AP502" s="241"/>
      <c r="AQ502" s="241"/>
      <c r="AR502" s="241"/>
      <c r="AS502" s="241"/>
      <c r="AT502" s="241"/>
      <c r="AU502" s="241"/>
      <c r="AV502" s="241"/>
      <c r="AW502" s="241"/>
      <c r="AX502" s="241"/>
      <c r="AY502" s="241"/>
      <c r="AZ502" s="241"/>
      <c r="BA502" s="241"/>
    </row>
    <row r="503" spans="1:53" s="138" customFormat="1" outlineLevel="2" x14ac:dyDescent="0.25">
      <c r="A503" s="138" t="s">
        <v>1426</v>
      </c>
      <c r="B503" s="139" t="s">
        <v>1427</v>
      </c>
      <c r="C503" s="140" t="s">
        <v>1428</v>
      </c>
      <c r="D503" s="141"/>
      <c r="E503" s="142"/>
      <c r="F503" s="143">
        <v>2913367.65</v>
      </c>
      <c r="G503" s="143">
        <v>2772327.8200000003</v>
      </c>
      <c r="H503" s="144">
        <f>+F503-G503</f>
        <v>141039.82999999961</v>
      </c>
      <c r="I503" s="145">
        <f>IF(G503&lt;0,IF(H503=0,0,IF(OR(G503=0,F503=0),"N.M.",IF(ABS(H503/G503)&gt;=10,"N.M.",H503/(-G503)))),IF(H503=0,0,IF(OR(G503=0,F503=0),"N.M.",IF(ABS(H503/G503)&gt;=10,"N.M.",H503/G503))))</f>
        <v>5.0874153115124603E-2</v>
      </c>
      <c r="J503" s="146"/>
      <c r="K503" s="143">
        <v>5719399.0800000001</v>
      </c>
      <c r="L503" s="143">
        <v>4930761.16</v>
      </c>
      <c r="M503" s="144">
        <f>+K503-L503</f>
        <v>788637.91999999993</v>
      </c>
      <c r="N503" s="145">
        <f>IF(L503&lt;0,IF(M503=0,0,IF(OR(L503=0,K503=0),"N.M.",IF(ABS(M503/L503)&gt;=10,"N.M.",M503/(-L503)))),IF(M503=0,0,IF(OR(L503=0,K503=0),"N.M.",IF(ABS(M503/L503)&gt;=10,"N.M.",M503/L503))))</f>
        <v>0.15994242965927799</v>
      </c>
      <c r="O503" s="147"/>
      <c r="P503" s="146"/>
      <c r="Q503" s="143">
        <v>22356487.719999999</v>
      </c>
      <c r="R503" s="143">
        <v>123488591.31</v>
      </c>
      <c r="S503" s="144">
        <f>+Q503-R503</f>
        <v>-101132103.59</v>
      </c>
      <c r="T503" s="145">
        <f>IF(R503&lt;0,IF(S503=0,0,IF(OR(R503=0,Q503=0),"N.M.",IF(ABS(S503/R503)&gt;=10,"N.M.",S503/(-R503)))),IF(S503=0,0,IF(OR(R503=0,Q503=0),"N.M.",IF(ABS(S503/R503)&gt;=10,"N.M.",S503/R503))))</f>
        <v>-0.81895908372719783</v>
      </c>
      <c r="U503" s="146"/>
      <c r="V503" s="143">
        <v>87748673.560000002</v>
      </c>
      <c r="W503" s="143">
        <v>209501435.31</v>
      </c>
      <c r="X503" s="144">
        <f>+V503-W503</f>
        <v>-121752761.75</v>
      </c>
      <c r="Y503" s="145">
        <f>IF(W503&lt;0,IF(X503=0,0,IF(OR(W503=0,V503=0),"N.M.",IF(ABS(X503/W503)&gt;=10,"N.M.",X503/(-W503)))),IF(X503=0,0,IF(OR(W503=0,V503=0),"N.M.",IF(ABS(X503/W503)&gt;=10,"N.M.",X503/W503))))</f>
        <v>-0.58115478574092827</v>
      </c>
      <c r="Z503" s="148"/>
      <c r="AA503" s="149">
        <v>118557830.15000001</v>
      </c>
      <c r="AB503" s="150"/>
      <c r="AC503" s="117">
        <v>2158433.34</v>
      </c>
      <c r="AD503" s="117">
        <v>2772327.8200000003</v>
      </c>
      <c r="AE503" s="117">
        <v>19070640.890000001</v>
      </c>
      <c r="AF503" s="117">
        <v>2313613.79</v>
      </c>
      <c r="AG503" s="117">
        <v>1585150.6</v>
      </c>
      <c r="AH503" s="117">
        <v>5219312.9400000004</v>
      </c>
      <c r="AI503" s="117">
        <v>2002499.51</v>
      </c>
      <c r="AJ503" s="117">
        <v>2414835.1</v>
      </c>
      <c r="AK503" s="117">
        <v>2626840.08</v>
      </c>
      <c r="AL503" s="117">
        <v>3226082.12</v>
      </c>
      <c r="AM503" s="117">
        <v>26933210.809999999</v>
      </c>
      <c r="AN503" s="117">
        <v>16637088.640000001</v>
      </c>
      <c r="AO503" s="150"/>
      <c r="AP503" s="117">
        <v>2806031.43</v>
      </c>
      <c r="AQ503" s="117">
        <v>2913367.65</v>
      </c>
      <c r="AR503" s="117">
        <v>0</v>
      </c>
      <c r="AS503" s="117">
        <v>0</v>
      </c>
      <c r="AT503" s="117">
        <v>0</v>
      </c>
      <c r="AU503" s="117">
        <v>0</v>
      </c>
      <c r="AV503" s="117">
        <v>0</v>
      </c>
      <c r="AW503" s="117">
        <v>0</v>
      </c>
      <c r="AX503" s="117">
        <v>0</v>
      </c>
      <c r="AY503" s="117">
        <v>0</v>
      </c>
      <c r="AZ503" s="117">
        <v>0</v>
      </c>
      <c r="BA503" s="117">
        <v>0</v>
      </c>
    </row>
    <row r="504" spans="1:53" s="138" customFormat="1" outlineLevel="2" x14ac:dyDescent="0.25">
      <c r="A504" s="138" t="s">
        <v>1429</v>
      </c>
      <c r="B504" s="139" t="s">
        <v>1430</v>
      </c>
      <c r="C504" s="140" t="s">
        <v>1431</v>
      </c>
      <c r="D504" s="141"/>
      <c r="E504" s="142"/>
      <c r="F504" s="143">
        <v>168944.47</v>
      </c>
      <c r="G504" s="143">
        <v>169071.47</v>
      </c>
      <c r="H504" s="144">
        <f>+F504-G504</f>
        <v>-127</v>
      </c>
      <c r="I504" s="145">
        <f>IF(G504&lt;0,IF(H504=0,0,IF(OR(G504=0,F504=0),"N.M.",IF(ABS(H504/G504)&gt;=10,"N.M.",H504/(-G504)))),IF(H504=0,0,IF(OR(G504=0,F504=0),"N.M.",IF(ABS(H504/G504)&gt;=10,"N.M.",H504/G504))))</f>
        <v>-7.5116162413445622E-4</v>
      </c>
      <c r="J504" s="146"/>
      <c r="K504" s="143">
        <v>337888.94</v>
      </c>
      <c r="L504" s="143">
        <v>338142.94</v>
      </c>
      <c r="M504" s="144">
        <f>+K504-L504</f>
        <v>-254</v>
      </c>
      <c r="N504" s="145">
        <f>IF(L504&lt;0,IF(M504=0,0,IF(OR(L504=0,K504=0),"N.M.",IF(ABS(M504/L504)&gt;=10,"N.M.",M504/(-L504)))),IF(M504=0,0,IF(OR(L504=0,K504=0),"N.M.",IF(ABS(M504/L504)&gt;=10,"N.M.",M504/L504))))</f>
        <v>-7.5116162413445622E-4</v>
      </c>
      <c r="O504" s="147"/>
      <c r="P504" s="146"/>
      <c r="Q504" s="143">
        <v>506960.41000000003</v>
      </c>
      <c r="R504" s="143">
        <v>5352567.58</v>
      </c>
      <c r="S504" s="144">
        <f>+Q504-R504</f>
        <v>-4845607.17</v>
      </c>
      <c r="T504" s="145">
        <f>IF(R504&lt;0,IF(S504=0,0,IF(OR(R504=0,Q504=0),"N.M.",IF(ABS(S504/R504)&gt;=10,"N.M.",S504/(-R504)))),IF(S504=0,0,IF(OR(R504=0,Q504=0),"N.M.",IF(ABS(S504/R504)&gt;=10,"N.M.",S504/R504))))</f>
        <v>-0.90528649990440657</v>
      </c>
      <c r="U504" s="146"/>
      <c r="V504" s="143">
        <v>8813952.0099999998</v>
      </c>
      <c r="W504" s="143">
        <v>11080527.93</v>
      </c>
      <c r="X504" s="144">
        <f>+V504-W504</f>
        <v>-2266575.92</v>
      </c>
      <c r="Y504" s="145">
        <f>IF(W504&lt;0,IF(X504=0,0,IF(OR(W504=0,V504=0),"N.M.",IF(ABS(X504/W504)&gt;=10,"N.M.",X504/(-W504)))),IF(X504=0,0,IF(OR(W504=0,V504=0),"N.M.",IF(ABS(X504/W504)&gt;=10,"N.M.",X504/W504))))</f>
        <v>-0.20455486726975833</v>
      </c>
      <c r="Z504" s="148"/>
      <c r="AA504" s="149">
        <v>5014424.6399999997</v>
      </c>
      <c r="AB504" s="150"/>
      <c r="AC504" s="117">
        <v>169071.47</v>
      </c>
      <c r="AD504" s="117">
        <v>169071.47</v>
      </c>
      <c r="AE504" s="117">
        <v>169071.47</v>
      </c>
      <c r="AF504" s="117">
        <v>169071.47</v>
      </c>
      <c r="AG504" s="117">
        <v>169071.47</v>
      </c>
      <c r="AH504" s="117">
        <v>4729880.01</v>
      </c>
      <c r="AI504" s="117">
        <v>169071.47</v>
      </c>
      <c r="AJ504" s="117">
        <v>169071.47</v>
      </c>
      <c r="AK504" s="117">
        <v>169071.47</v>
      </c>
      <c r="AL504" s="117">
        <v>169071.47</v>
      </c>
      <c r="AM504" s="117">
        <v>2393611.2999999998</v>
      </c>
      <c r="AN504" s="117">
        <v>169071.47</v>
      </c>
      <c r="AO504" s="150"/>
      <c r="AP504" s="117">
        <v>168944.47</v>
      </c>
      <c r="AQ504" s="117">
        <v>168944.47</v>
      </c>
      <c r="AR504" s="117">
        <v>0</v>
      </c>
      <c r="AS504" s="117">
        <v>0</v>
      </c>
      <c r="AT504" s="117">
        <v>0</v>
      </c>
      <c r="AU504" s="117">
        <v>0</v>
      </c>
      <c r="AV504" s="117">
        <v>0</v>
      </c>
      <c r="AW504" s="117">
        <v>0</v>
      </c>
      <c r="AX504" s="117">
        <v>0</v>
      </c>
      <c r="AY504" s="117">
        <v>0</v>
      </c>
      <c r="AZ504" s="117">
        <v>0</v>
      </c>
      <c r="BA504" s="117">
        <v>0</v>
      </c>
    </row>
    <row r="505" spans="1:53" s="244" customFormat="1" x14ac:dyDescent="0.25">
      <c r="A505" s="211" t="s">
        <v>1432</v>
      </c>
      <c r="B505" s="212" t="s">
        <v>1433</v>
      </c>
      <c r="C505" s="238" t="s">
        <v>1434</v>
      </c>
      <c r="D505" s="246"/>
      <c r="E505" s="246"/>
      <c r="F505" s="241">
        <v>3082312.12</v>
      </c>
      <c r="G505" s="241">
        <v>2941399.2900000005</v>
      </c>
      <c r="H505" s="236">
        <f>+F505-G505</f>
        <v>140912.82999999961</v>
      </c>
      <c r="I505" s="237">
        <f>IF(G505&lt;0,IF(H505=0,0,IF(OR(G505=0,F505=0),"N.M.",IF(ABS(H505/G505)&gt;=10,"N.M.",H505/(-G505)))),IF(H505=0,0,IF(OR(G505=0,F505=0),"N.M.",IF(ABS(H505/G505)&gt;=10,"N.M.",H505/G505))))</f>
        <v>4.790673285298834E-2</v>
      </c>
      <c r="J505" s="242"/>
      <c r="K505" s="241">
        <v>6057288.0200000005</v>
      </c>
      <c r="L505" s="241">
        <v>5268904.1000000006</v>
      </c>
      <c r="M505" s="236">
        <f>+K505-L505</f>
        <v>788383.91999999993</v>
      </c>
      <c r="N505" s="237">
        <f>IF(L505&lt;0,IF(M505=0,0,IF(OR(L505=0,K505=0),"N.M.",IF(ABS(M505/L505)&gt;=10,"N.M.",M505/(-L505)))),IF(M505=0,0,IF(OR(L505=0,K505=0),"N.M.",IF(ABS(M505/L505)&gt;=10,"N.M.",M505/L505))))</f>
        <v>0.14962958236419596</v>
      </c>
      <c r="O505" s="181"/>
      <c r="P505" s="263"/>
      <c r="Q505" s="241">
        <v>22863448.129999999</v>
      </c>
      <c r="R505" s="241">
        <v>128841158.89</v>
      </c>
      <c r="S505" s="236">
        <f>+Q505-R505</f>
        <v>-105977710.76000001</v>
      </c>
      <c r="T505" s="237">
        <f>IF(R505&lt;0,IF(S505=0,0,IF(OR(R505=0,Q505=0),"N.M.",IF(ABS(S505/R505)&gt;=10,"N.M.",S505/(-R505)))),IF(S505=0,0,IF(OR(R505=0,Q505=0),"N.M.",IF(ABS(S505/R505)&gt;=10,"N.M.",S505/R505))))</f>
        <v>-0.82254546352287938</v>
      </c>
      <c r="U505" s="263"/>
      <c r="V505" s="241">
        <v>96562625.570000008</v>
      </c>
      <c r="W505" s="241">
        <v>220581963.24000001</v>
      </c>
      <c r="X505" s="236">
        <f>+V505-W505</f>
        <v>-124019337.67</v>
      </c>
      <c r="Y505" s="232">
        <f>IF(W505&lt;0,IF(X505=0,0,IF(OR(W505=0,V505=0),"N.M.",IF(ABS(X505/W505)&gt;=10,"N.M.",X505/(-W505)))),IF(X505=0,0,IF(OR(W505=0,V505=0),"N.M.",IF(ABS(X505/W505)&gt;=10,"N.M.",X505/W505))))</f>
        <v>-0.56223698369690867</v>
      </c>
      <c r="AA505" s="241">
        <v>123572254.79000001</v>
      </c>
      <c r="AB505" s="245"/>
      <c r="AC505" s="241">
        <v>2327504.81</v>
      </c>
      <c r="AD505" s="241">
        <v>2941399.2900000005</v>
      </c>
      <c r="AE505" s="241">
        <v>19239712.359999999</v>
      </c>
      <c r="AF505" s="241">
        <v>2482685.2600000002</v>
      </c>
      <c r="AG505" s="241">
        <v>1754222.07</v>
      </c>
      <c r="AH505" s="241">
        <v>9949192.9499999993</v>
      </c>
      <c r="AI505" s="241">
        <v>2171570.98</v>
      </c>
      <c r="AJ505" s="241">
        <v>2583906.5700000003</v>
      </c>
      <c r="AK505" s="241">
        <v>2795911.5500000003</v>
      </c>
      <c r="AL505" s="241">
        <v>3395153.5900000003</v>
      </c>
      <c r="AM505" s="241">
        <v>29326822.109999999</v>
      </c>
      <c r="AN505" s="241">
        <v>16806160.109999999</v>
      </c>
      <c r="AO505" s="245"/>
      <c r="AP505" s="241">
        <v>2974975.9000000004</v>
      </c>
      <c r="AQ505" s="241">
        <v>3082312.12</v>
      </c>
      <c r="AR505" s="241">
        <v>0</v>
      </c>
      <c r="AS505" s="241">
        <v>0</v>
      </c>
      <c r="AT505" s="241">
        <v>0</v>
      </c>
      <c r="AU505" s="241">
        <v>0</v>
      </c>
      <c r="AV505" s="241">
        <v>0</v>
      </c>
      <c r="AW505" s="241">
        <v>0</v>
      </c>
      <c r="AX505" s="241">
        <v>0</v>
      </c>
      <c r="AY505" s="241">
        <v>0</v>
      </c>
      <c r="AZ505" s="241">
        <v>0</v>
      </c>
      <c r="BA505" s="241">
        <v>0</v>
      </c>
    </row>
    <row r="506" spans="1:53" s="244" customFormat="1" ht="0.75" customHeight="1" outlineLevel="2" x14ac:dyDescent="0.25">
      <c r="A506" s="211"/>
      <c r="B506" s="212"/>
      <c r="C506" s="238"/>
      <c r="D506" s="246"/>
      <c r="E506" s="246"/>
      <c r="F506" s="241"/>
      <c r="G506" s="241"/>
      <c r="H506" s="236"/>
      <c r="I506" s="237"/>
      <c r="J506" s="242"/>
      <c r="K506" s="241"/>
      <c r="L506" s="241"/>
      <c r="M506" s="236"/>
      <c r="N506" s="237"/>
      <c r="O506" s="181"/>
      <c r="P506" s="263"/>
      <c r="Q506" s="241"/>
      <c r="R506" s="241"/>
      <c r="S506" s="236"/>
      <c r="T506" s="237"/>
      <c r="U506" s="263"/>
      <c r="V506" s="241"/>
      <c r="W506" s="241"/>
      <c r="X506" s="236"/>
      <c r="Y506" s="232"/>
      <c r="AA506" s="241"/>
      <c r="AB506" s="245"/>
      <c r="AC506" s="241"/>
      <c r="AD506" s="241"/>
      <c r="AE506" s="241"/>
      <c r="AF506" s="241"/>
      <c r="AG506" s="241"/>
      <c r="AH506" s="241"/>
      <c r="AI506" s="241"/>
      <c r="AJ506" s="241"/>
      <c r="AK506" s="241"/>
      <c r="AL506" s="241"/>
      <c r="AM506" s="241"/>
      <c r="AN506" s="241"/>
      <c r="AO506" s="245"/>
      <c r="AP506" s="241"/>
      <c r="AQ506" s="241"/>
      <c r="AR506" s="241"/>
      <c r="AS506" s="241"/>
      <c r="AT506" s="241"/>
      <c r="AU506" s="241"/>
      <c r="AV506" s="241"/>
      <c r="AW506" s="241"/>
      <c r="AX506" s="241"/>
      <c r="AY506" s="241"/>
      <c r="AZ506" s="241"/>
      <c r="BA506" s="241"/>
    </row>
    <row r="507" spans="1:53" s="138" customFormat="1" outlineLevel="2" x14ac:dyDescent="0.25">
      <c r="A507" s="138" t="s">
        <v>1435</v>
      </c>
      <c r="B507" s="139" t="s">
        <v>1436</v>
      </c>
      <c r="C507" s="140" t="s">
        <v>1437</v>
      </c>
      <c r="D507" s="141"/>
      <c r="E507" s="142"/>
      <c r="F507" s="143">
        <v>-85</v>
      </c>
      <c r="G507" s="143">
        <v>-219</v>
      </c>
      <c r="H507" s="144">
        <f>+F507-G507</f>
        <v>134</v>
      </c>
      <c r="I507" s="145">
        <f>IF(G507&lt;0,IF(H507=0,0,IF(OR(G507=0,F507=0),"N.M.",IF(ABS(H507/G507)&gt;=10,"N.M.",H507/(-G507)))),IF(H507=0,0,IF(OR(G507=0,F507=0),"N.M.",IF(ABS(H507/G507)&gt;=10,"N.M.",H507/G507))))</f>
        <v>0.61187214611872143</v>
      </c>
      <c r="J507" s="146"/>
      <c r="K507" s="143">
        <v>-170</v>
      </c>
      <c r="L507" s="143">
        <v>-438</v>
      </c>
      <c r="M507" s="144">
        <f>+K507-L507</f>
        <v>268</v>
      </c>
      <c r="N507" s="145">
        <f>IF(L507&lt;0,IF(M507=0,0,IF(OR(L507=0,K507=0),"N.M.",IF(ABS(M507/L507)&gt;=10,"N.M.",M507/(-L507)))),IF(M507=0,0,IF(OR(L507=0,K507=0),"N.M.",IF(ABS(M507/L507)&gt;=10,"N.M.",M507/L507))))</f>
        <v>0.61187214611872143</v>
      </c>
      <c r="O507" s="147"/>
      <c r="P507" s="146"/>
      <c r="Q507" s="143">
        <v>-391</v>
      </c>
      <c r="R507" s="143">
        <v>-2576</v>
      </c>
      <c r="S507" s="144">
        <f>+Q507-R507</f>
        <v>2185</v>
      </c>
      <c r="T507" s="145">
        <f>IF(R507&lt;0,IF(S507=0,0,IF(OR(R507=0,Q507=0),"N.M.",IF(ABS(S507/R507)&gt;=10,"N.M.",S507/(-R507)))),IF(S507=0,0,IF(OR(R507=0,Q507=0),"N.M.",IF(ABS(S507/R507)&gt;=10,"N.M.",S507/R507))))</f>
        <v>0.8482142857142857</v>
      </c>
      <c r="U507" s="146"/>
      <c r="V507" s="143">
        <v>-2362</v>
      </c>
      <c r="W507" s="143">
        <v>-21823</v>
      </c>
      <c r="X507" s="144">
        <f>+V507-W507</f>
        <v>19461</v>
      </c>
      <c r="Y507" s="145">
        <f>IF(W507&lt;0,IF(X507=0,0,IF(OR(W507=0,V507=0),"N.M.",IF(ABS(X507/W507)&gt;=10,"N.M.",X507/(-W507)))),IF(X507=0,0,IF(OR(W507=0,V507=0),"N.M.",IF(ABS(X507/W507)&gt;=10,"N.M.",X507/W507))))</f>
        <v>0.89176556843697019</v>
      </c>
      <c r="Z507" s="148"/>
      <c r="AA507" s="149">
        <v>-2138</v>
      </c>
      <c r="AB507" s="150"/>
      <c r="AC507" s="117">
        <v>-219</v>
      </c>
      <c r="AD507" s="117">
        <v>-219</v>
      </c>
      <c r="AE507" s="117">
        <v>-219</v>
      </c>
      <c r="AF507" s="117">
        <v>-219</v>
      </c>
      <c r="AG507" s="117">
        <v>-219</v>
      </c>
      <c r="AH507" s="117">
        <v>-219</v>
      </c>
      <c r="AI507" s="117">
        <v>-219</v>
      </c>
      <c r="AJ507" s="117">
        <v>-219</v>
      </c>
      <c r="AK507" s="117">
        <v>-219</v>
      </c>
      <c r="AL507" s="117">
        <v>-219</v>
      </c>
      <c r="AM507" s="117">
        <v>-219</v>
      </c>
      <c r="AN507" s="117">
        <v>-221</v>
      </c>
      <c r="AO507" s="150"/>
      <c r="AP507" s="117">
        <v>-85</v>
      </c>
      <c r="AQ507" s="117">
        <v>-85</v>
      </c>
      <c r="AR507" s="117">
        <v>0</v>
      </c>
      <c r="AS507" s="117">
        <v>0</v>
      </c>
      <c r="AT507" s="117">
        <v>0</v>
      </c>
      <c r="AU507" s="117">
        <v>0</v>
      </c>
      <c r="AV507" s="117">
        <v>0</v>
      </c>
      <c r="AW507" s="117">
        <v>0</v>
      </c>
      <c r="AX507" s="117">
        <v>0</v>
      </c>
      <c r="AY507" s="117">
        <v>0</v>
      </c>
      <c r="AZ507" s="117">
        <v>0</v>
      </c>
      <c r="BA507" s="117">
        <v>0</v>
      </c>
    </row>
    <row r="508" spans="1:53" s="244" customFormat="1" x14ac:dyDescent="0.25">
      <c r="A508" s="211" t="s">
        <v>1438</v>
      </c>
      <c r="B508" s="212" t="s">
        <v>1439</v>
      </c>
      <c r="C508" s="238" t="s">
        <v>1440</v>
      </c>
      <c r="D508" s="246"/>
      <c r="E508" s="246"/>
      <c r="F508" s="241">
        <v>-85</v>
      </c>
      <c r="G508" s="241">
        <v>-219</v>
      </c>
      <c r="H508" s="236">
        <f>+F508-G508</f>
        <v>134</v>
      </c>
      <c r="I508" s="237">
        <f>IF(G508&lt;0,IF(H508=0,0,IF(OR(G508=0,F508=0),"N.M.",IF(ABS(H508/G508)&gt;=10,"N.M.",H508/(-G508)))),IF(H508=0,0,IF(OR(G508=0,F508=0),"N.M.",IF(ABS(H508/G508)&gt;=10,"N.M.",H508/G508))))</f>
        <v>0.61187214611872143</v>
      </c>
      <c r="J508" s="242"/>
      <c r="K508" s="241">
        <v>-170</v>
      </c>
      <c r="L508" s="241">
        <v>-438</v>
      </c>
      <c r="M508" s="236">
        <f>+K508-L508</f>
        <v>268</v>
      </c>
      <c r="N508" s="237">
        <f>IF(L508&lt;0,IF(M508=0,0,IF(OR(L508=0,K508=0),"N.M.",IF(ABS(M508/L508)&gt;=10,"N.M.",M508/(-L508)))),IF(M508=0,0,IF(OR(L508=0,K508=0),"N.M.",IF(ABS(M508/L508)&gt;=10,"N.M.",M508/L508))))</f>
        <v>0.61187214611872143</v>
      </c>
      <c r="O508" s="148"/>
      <c r="P508" s="243"/>
      <c r="Q508" s="241">
        <v>-391</v>
      </c>
      <c r="R508" s="241">
        <v>-2576</v>
      </c>
      <c r="S508" s="236">
        <f>+Q508-R508</f>
        <v>2185</v>
      </c>
      <c r="T508" s="237">
        <f>IF(R508&lt;0,IF(S508=0,0,IF(OR(R508=0,Q508=0),"N.M.",IF(ABS(S508/R508)&gt;=10,"N.M.",S508/(-R508)))),IF(S508=0,0,IF(OR(R508=0,Q508=0),"N.M.",IF(ABS(S508/R508)&gt;=10,"N.M.",S508/R508))))</f>
        <v>0.8482142857142857</v>
      </c>
      <c r="U508" s="243"/>
      <c r="V508" s="241">
        <v>-2362</v>
      </c>
      <c r="W508" s="241">
        <v>-21823</v>
      </c>
      <c r="X508" s="236">
        <f>+V508-W508</f>
        <v>19461</v>
      </c>
      <c r="Y508" s="232">
        <f>IF(W508&lt;0,IF(X508=0,0,IF(OR(W508=0,V508=0),"N.M.",IF(ABS(X508/W508)&gt;=10,"N.M.",X508/(-W508)))),IF(X508=0,0,IF(OR(W508=0,V508=0),"N.M.",IF(ABS(X508/W508)&gt;=10,"N.M.",X508/W508))))</f>
        <v>0.89176556843697019</v>
      </c>
      <c r="AA508" s="241">
        <v>-2138</v>
      </c>
      <c r="AB508" s="245"/>
      <c r="AC508" s="241">
        <v>-219</v>
      </c>
      <c r="AD508" s="241">
        <v>-219</v>
      </c>
      <c r="AE508" s="241">
        <v>-219</v>
      </c>
      <c r="AF508" s="241">
        <v>-219</v>
      </c>
      <c r="AG508" s="241">
        <v>-219</v>
      </c>
      <c r="AH508" s="241">
        <v>-219</v>
      </c>
      <c r="AI508" s="241">
        <v>-219</v>
      </c>
      <c r="AJ508" s="241">
        <v>-219</v>
      </c>
      <c r="AK508" s="241">
        <v>-219</v>
      </c>
      <c r="AL508" s="241">
        <v>-219</v>
      </c>
      <c r="AM508" s="241">
        <v>-219</v>
      </c>
      <c r="AN508" s="241">
        <v>-221</v>
      </c>
      <c r="AO508" s="245"/>
      <c r="AP508" s="241">
        <v>-85</v>
      </c>
      <c r="AQ508" s="241">
        <v>-85</v>
      </c>
      <c r="AR508" s="241">
        <v>0</v>
      </c>
      <c r="AS508" s="241">
        <v>0</v>
      </c>
      <c r="AT508" s="241">
        <v>0</v>
      </c>
      <c r="AU508" s="241">
        <v>0</v>
      </c>
      <c r="AV508" s="241">
        <v>0</v>
      </c>
      <c r="AW508" s="241">
        <v>0</v>
      </c>
      <c r="AX508" s="241">
        <v>0</v>
      </c>
      <c r="AY508" s="241">
        <v>0</v>
      </c>
      <c r="AZ508" s="241">
        <v>0</v>
      </c>
      <c r="BA508" s="241">
        <v>0</v>
      </c>
    </row>
    <row r="509" spans="1:53" s="244" customFormat="1" ht="0.75" customHeight="1" outlineLevel="2" x14ac:dyDescent="0.25">
      <c r="A509" s="211"/>
      <c r="B509" s="212"/>
      <c r="C509" s="238"/>
      <c r="D509" s="246"/>
      <c r="E509" s="246"/>
      <c r="F509" s="241"/>
      <c r="G509" s="241"/>
      <c r="H509" s="236"/>
      <c r="I509" s="237"/>
      <c r="J509" s="242"/>
      <c r="K509" s="241"/>
      <c r="L509" s="241"/>
      <c r="M509" s="236"/>
      <c r="N509" s="237"/>
      <c r="O509" s="148"/>
      <c r="P509" s="243"/>
      <c r="Q509" s="241"/>
      <c r="R509" s="241"/>
      <c r="S509" s="236"/>
      <c r="T509" s="237"/>
      <c r="U509" s="243"/>
      <c r="V509" s="241"/>
      <c r="W509" s="241"/>
      <c r="X509" s="236"/>
      <c r="Y509" s="232"/>
      <c r="AA509" s="241"/>
      <c r="AB509" s="245"/>
      <c r="AC509" s="241"/>
      <c r="AD509" s="241"/>
      <c r="AE509" s="241"/>
      <c r="AF509" s="241"/>
      <c r="AG509" s="241"/>
      <c r="AH509" s="241"/>
      <c r="AI509" s="241"/>
      <c r="AJ509" s="241"/>
      <c r="AK509" s="241"/>
      <c r="AL509" s="241"/>
      <c r="AM509" s="241"/>
      <c r="AN509" s="241"/>
      <c r="AO509" s="245"/>
      <c r="AP509" s="241"/>
      <c r="AQ509" s="241"/>
      <c r="AR509" s="241"/>
      <c r="AS509" s="241"/>
      <c r="AT509" s="241"/>
      <c r="AU509" s="241"/>
      <c r="AV509" s="241"/>
      <c r="AW509" s="241"/>
      <c r="AX509" s="241"/>
      <c r="AY509" s="241"/>
      <c r="AZ509" s="241"/>
      <c r="BA509" s="241"/>
    </row>
    <row r="510" spans="1:53" s="138" customFormat="1" outlineLevel="2" x14ac:dyDescent="0.25">
      <c r="A510" s="138" t="s">
        <v>1441</v>
      </c>
      <c r="B510" s="139" t="s">
        <v>1442</v>
      </c>
      <c r="C510" s="140" t="s">
        <v>1443</v>
      </c>
      <c r="D510" s="141"/>
      <c r="E510" s="142"/>
      <c r="F510" s="143">
        <v>492</v>
      </c>
      <c r="G510" s="143">
        <v>435</v>
      </c>
      <c r="H510" s="144">
        <f>+F510-G510</f>
        <v>57</v>
      </c>
      <c r="I510" s="145">
        <f>IF(G510&lt;0,IF(H510=0,0,IF(OR(G510=0,F510=0),"N.M.",IF(ABS(H510/G510)&gt;=10,"N.M.",H510/(-G510)))),IF(H510=0,0,IF(OR(G510=0,F510=0),"N.M.",IF(ABS(H510/G510)&gt;=10,"N.M.",H510/G510))))</f>
        <v>0.1310344827586207</v>
      </c>
      <c r="J510" s="146"/>
      <c r="K510" s="143">
        <v>990</v>
      </c>
      <c r="L510" s="143">
        <v>870</v>
      </c>
      <c r="M510" s="144">
        <f>+K510-L510</f>
        <v>120</v>
      </c>
      <c r="N510" s="145">
        <f>IF(L510&lt;0,IF(M510=0,0,IF(OR(L510=0,K510=0),"N.M.",IF(ABS(M510/L510)&gt;=10,"N.M.",M510/(-L510)))),IF(M510=0,0,IF(OR(L510=0,K510=0),"N.M.",IF(ABS(M510/L510)&gt;=10,"N.M.",M510/L510))))</f>
        <v>0.13793103448275862</v>
      </c>
      <c r="O510" s="147"/>
      <c r="P510" s="146"/>
      <c r="Q510" s="143">
        <v>1003283.36</v>
      </c>
      <c r="R510" s="143">
        <v>1251</v>
      </c>
      <c r="S510" s="144">
        <f>+Q510-R510</f>
        <v>1002032.36</v>
      </c>
      <c r="T510" s="145" t="str">
        <f>IF(R510&lt;0,IF(S510=0,0,IF(OR(R510=0,Q510=0),"N.M.",IF(ABS(S510/R510)&gt;=10,"N.M.",S510/(-R510)))),IF(S510=0,0,IF(OR(R510=0,Q510=0),"N.M.",IF(ABS(S510/R510)&gt;=10,"N.M.",S510/R510))))</f>
        <v>N.M.</v>
      </c>
      <c r="U510" s="146"/>
      <c r="V510" s="143">
        <v>1007178.36</v>
      </c>
      <c r="W510" s="143">
        <v>4680</v>
      </c>
      <c r="X510" s="144">
        <f>+V510-W510</f>
        <v>1002498.36</v>
      </c>
      <c r="Y510" s="145" t="str">
        <f>IF(W510&lt;0,IF(X510=0,0,IF(OR(W510=0,V510=0),"N.M.",IF(ABS(X510/W510)&gt;=10,"N.M.",X510/(-W510)))),IF(X510=0,0,IF(OR(W510=0,V510=0),"N.M.",IF(ABS(X510/W510)&gt;=10,"N.M.",X510/W510))))</f>
        <v>N.M.</v>
      </c>
      <c r="Z510" s="148"/>
      <c r="AA510" s="149">
        <v>381</v>
      </c>
      <c r="AB510" s="150"/>
      <c r="AC510" s="117">
        <v>435</v>
      </c>
      <c r="AD510" s="117">
        <v>435</v>
      </c>
      <c r="AE510" s="117">
        <v>431</v>
      </c>
      <c r="AF510" s="117">
        <v>433</v>
      </c>
      <c r="AG510" s="117">
        <v>433</v>
      </c>
      <c r="AH510" s="117">
        <v>433</v>
      </c>
      <c r="AI510" s="117">
        <v>433</v>
      </c>
      <c r="AJ510" s="117">
        <v>433</v>
      </c>
      <c r="AK510" s="117">
        <v>433</v>
      </c>
      <c r="AL510" s="117">
        <v>433</v>
      </c>
      <c r="AM510" s="117">
        <v>433</v>
      </c>
      <c r="AN510" s="117">
        <v>1002293.36</v>
      </c>
      <c r="AO510" s="150"/>
      <c r="AP510" s="117">
        <v>498</v>
      </c>
      <c r="AQ510" s="117">
        <v>492</v>
      </c>
      <c r="AR510" s="117">
        <v>0</v>
      </c>
      <c r="AS510" s="117">
        <v>0</v>
      </c>
      <c r="AT510" s="117">
        <v>0</v>
      </c>
      <c r="AU510" s="117">
        <v>0</v>
      </c>
      <c r="AV510" s="117">
        <v>0</v>
      </c>
      <c r="AW510" s="117">
        <v>0</v>
      </c>
      <c r="AX510" s="117">
        <v>0</v>
      </c>
      <c r="AY510" s="117">
        <v>0</v>
      </c>
      <c r="AZ510" s="117">
        <v>0</v>
      </c>
      <c r="BA510" s="117">
        <v>0</v>
      </c>
    </row>
    <row r="511" spans="1:53" s="244" customFormat="1" x14ac:dyDescent="0.25">
      <c r="A511" s="211" t="s">
        <v>1444</v>
      </c>
      <c r="B511" s="212" t="s">
        <v>1445</v>
      </c>
      <c r="C511" s="238" t="s">
        <v>1446</v>
      </c>
      <c r="D511" s="246"/>
      <c r="E511" s="246"/>
      <c r="F511" s="241">
        <v>492</v>
      </c>
      <c r="G511" s="241">
        <v>435</v>
      </c>
      <c r="H511" s="236">
        <f>+F511-G511</f>
        <v>57</v>
      </c>
      <c r="I511" s="237">
        <f>IF(G511&lt;0,IF(H511=0,0,IF(OR(G511=0,F511=0),"N.M.",IF(ABS(H511/G511)&gt;=10,"N.M.",H511/(-G511)))),IF(H511=0,0,IF(OR(G511=0,F511=0),"N.M.",IF(ABS(H511/G511)&gt;=10,"N.M.",H511/G511))))</f>
        <v>0.1310344827586207</v>
      </c>
      <c r="J511" s="242"/>
      <c r="K511" s="241">
        <v>990</v>
      </c>
      <c r="L511" s="241">
        <v>870</v>
      </c>
      <c r="M511" s="236">
        <f>+K511-L511</f>
        <v>120</v>
      </c>
      <c r="N511" s="237">
        <f>IF(L511&lt;0,IF(M511=0,0,IF(OR(L511=0,K511=0),"N.M.",IF(ABS(M511/L511)&gt;=10,"N.M.",M511/(-L511)))),IF(M511=0,0,IF(OR(L511=0,K511=0),"N.M.",IF(ABS(M511/L511)&gt;=10,"N.M.",M511/L511))))</f>
        <v>0.13793103448275862</v>
      </c>
      <c r="O511" s="148"/>
      <c r="P511" s="243"/>
      <c r="Q511" s="241">
        <v>1003283.36</v>
      </c>
      <c r="R511" s="241">
        <v>1251</v>
      </c>
      <c r="S511" s="236">
        <f>+Q511-R511</f>
        <v>1002032.36</v>
      </c>
      <c r="T511" s="237" t="str">
        <f>IF(R511&lt;0,IF(S511=0,0,IF(OR(R511=0,Q511=0),"N.M.",IF(ABS(S511/R511)&gt;=10,"N.M.",S511/(-R511)))),IF(S511=0,0,IF(OR(R511=0,Q511=0),"N.M.",IF(ABS(S511/R511)&gt;=10,"N.M.",S511/R511))))</f>
        <v>N.M.</v>
      </c>
      <c r="U511" s="243"/>
      <c r="V511" s="241">
        <v>1007178.36</v>
      </c>
      <c r="W511" s="241">
        <v>4680</v>
      </c>
      <c r="X511" s="236">
        <f>+V511-W511</f>
        <v>1002498.36</v>
      </c>
      <c r="Y511" s="232" t="str">
        <f>IF(W511&lt;0,IF(X511=0,0,IF(OR(W511=0,V511=0),"N.M.",IF(ABS(X511/W511)&gt;=10,"N.M.",X511/(-W511)))),IF(X511=0,0,IF(OR(W511=0,V511=0),"N.M.",IF(ABS(X511/W511)&gt;=10,"N.M.",X511/W511))))</f>
        <v>N.M.</v>
      </c>
      <c r="AA511" s="241">
        <v>381</v>
      </c>
      <c r="AB511" s="245"/>
      <c r="AC511" s="241">
        <v>435</v>
      </c>
      <c r="AD511" s="241">
        <v>435</v>
      </c>
      <c r="AE511" s="241">
        <v>431</v>
      </c>
      <c r="AF511" s="241">
        <v>433</v>
      </c>
      <c r="AG511" s="241">
        <v>433</v>
      </c>
      <c r="AH511" s="241">
        <v>433</v>
      </c>
      <c r="AI511" s="241">
        <v>433</v>
      </c>
      <c r="AJ511" s="241">
        <v>433</v>
      </c>
      <c r="AK511" s="241">
        <v>433</v>
      </c>
      <c r="AL511" s="241">
        <v>433</v>
      </c>
      <c r="AM511" s="241">
        <v>433</v>
      </c>
      <c r="AN511" s="241">
        <v>1002293.36</v>
      </c>
      <c r="AO511" s="245"/>
      <c r="AP511" s="241">
        <v>498</v>
      </c>
      <c r="AQ511" s="241">
        <v>492</v>
      </c>
      <c r="AR511" s="241">
        <v>0</v>
      </c>
      <c r="AS511" s="241">
        <v>0</v>
      </c>
      <c r="AT511" s="241">
        <v>0</v>
      </c>
      <c r="AU511" s="241">
        <v>0</v>
      </c>
      <c r="AV511" s="241">
        <v>0</v>
      </c>
      <c r="AW511" s="241">
        <v>0</v>
      </c>
      <c r="AX511" s="241">
        <v>0</v>
      </c>
      <c r="AY511" s="241">
        <v>0</v>
      </c>
      <c r="AZ511" s="241">
        <v>0</v>
      </c>
      <c r="BA511" s="241">
        <v>0</v>
      </c>
    </row>
    <row r="512" spans="1:53" s="244" customFormat="1" ht="0.75" customHeight="1" outlineLevel="2" x14ac:dyDescent="0.25">
      <c r="A512" s="211"/>
      <c r="B512" s="212"/>
      <c r="C512" s="238"/>
      <c r="D512" s="246"/>
      <c r="E512" s="246"/>
      <c r="F512" s="241"/>
      <c r="G512" s="241"/>
      <c r="H512" s="236"/>
      <c r="I512" s="237"/>
      <c r="J512" s="242"/>
      <c r="K512" s="241"/>
      <c r="L512" s="241"/>
      <c r="M512" s="236"/>
      <c r="N512" s="237"/>
      <c r="O512" s="148"/>
      <c r="P512" s="243"/>
      <c r="Q512" s="241"/>
      <c r="R512" s="241"/>
      <c r="S512" s="236"/>
      <c r="T512" s="237"/>
      <c r="U512" s="243"/>
      <c r="V512" s="241"/>
      <c r="W512" s="241"/>
      <c r="X512" s="236"/>
      <c r="Y512" s="232"/>
      <c r="AA512" s="241"/>
      <c r="AB512" s="245"/>
      <c r="AC512" s="241"/>
      <c r="AD512" s="241"/>
      <c r="AE512" s="241"/>
      <c r="AF512" s="241"/>
      <c r="AG512" s="241"/>
      <c r="AH512" s="241"/>
      <c r="AI512" s="241"/>
      <c r="AJ512" s="241"/>
      <c r="AK512" s="241"/>
      <c r="AL512" s="241"/>
      <c r="AM512" s="241"/>
      <c r="AN512" s="241"/>
      <c r="AO512" s="245"/>
      <c r="AP512" s="241"/>
      <c r="AQ512" s="241"/>
      <c r="AR512" s="241"/>
      <c r="AS512" s="241"/>
      <c r="AT512" s="241"/>
      <c r="AU512" s="241"/>
      <c r="AV512" s="241"/>
      <c r="AW512" s="241"/>
      <c r="AX512" s="241"/>
      <c r="AY512" s="241"/>
      <c r="AZ512" s="241"/>
      <c r="BA512" s="241"/>
    </row>
    <row r="513" spans="1:53" s="244" customFormat="1" x14ac:dyDescent="0.25">
      <c r="A513" s="211" t="s">
        <v>1447</v>
      </c>
      <c r="B513" s="212" t="s">
        <v>1448</v>
      </c>
      <c r="C513" s="238" t="s">
        <v>1449</v>
      </c>
      <c r="D513" s="246"/>
      <c r="E513" s="246"/>
      <c r="F513" s="241">
        <v>0</v>
      </c>
      <c r="G513" s="241">
        <v>0</v>
      </c>
      <c r="H513" s="236">
        <f>+F513-G513</f>
        <v>0</v>
      </c>
      <c r="I513" s="237">
        <f>IF(G513&lt;0,IF(H513=0,0,IF(OR(G513=0,F513=0),"N.M.",IF(ABS(H513/G513)&gt;=10,"N.M.",H513/(-G513)))),IF(H513=0,0,IF(OR(G513=0,F513=0),"N.M.",IF(ABS(H513/G513)&gt;=10,"N.M.",H513/G513))))</f>
        <v>0</v>
      </c>
      <c r="J513" s="242"/>
      <c r="K513" s="241">
        <v>0</v>
      </c>
      <c r="L513" s="241">
        <v>0</v>
      </c>
      <c r="M513" s="236">
        <f>+K513-L513</f>
        <v>0</v>
      </c>
      <c r="N513" s="237">
        <f>IF(L513&lt;0,IF(M513=0,0,IF(OR(L513=0,K513=0),"N.M.",IF(ABS(M513/L513)&gt;=10,"N.M.",M513/(-L513)))),IF(M513=0,0,IF(OR(L513=0,K513=0),"N.M.",IF(ABS(M513/L513)&gt;=10,"N.M.",M513/L513))))</f>
        <v>0</v>
      </c>
      <c r="O513" s="148"/>
      <c r="P513" s="243"/>
      <c r="Q513" s="241">
        <v>0</v>
      </c>
      <c r="R513" s="241">
        <v>0</v>
      </c>
      <c r="S513" s="236">
        <f>+Q513-R513</f>
        <v>0</v>
      </c>
      <c r="T513" s="237">
        <f>IF(R513&lt;0,IF(S513=0,0,IF(OR(R513=0,Q513=0),"N.M.",IF(ABS(S513/R513)&gt;=10,"N.M.",S513/(-R513)))),IF(S513=0,0,IF(OR(R513=0,Q513=0),"N.M.",IF(ABS(S513/R513)&gt;=10,"N.M.",S513/R513))))</f>
        <v>0</v>
      </c>
      <c r="U513" s="243"/>
      <c r="V513" s="241">
        <v>0</v>
      </c>
      <c r="W513" s="241">
        <v>0</v>
      </c>
      <c r="X513" s="236">
        <f>+V513-W513</f>
        <v>0</v>
      </c>
      <c r="Y513" s="232">
        <f>IF(W513&lt;0,IF(X513=0,0,IF(OR(W513=0,V513=0),"N.M.",IF(ABS(X513/W513)&gt;=10,"N.M.",X513/(-W513)))),IF(X513=0,0,IF(OR(W513=0,V513=0),"N.M.",IF(ABS(X513/W513)&gt;=10,"N.M.",X513/W513))))</f>
        <v>0</v>
      </c>
      <c r="AA513" s="241">
        <v>0</v>
      </c>
      <c r="AB513" s="245"/>
      <c r="AC513" s="241">
        <v>0</v>
      </c>
      <c r="AD513" s="241">
        <v>0</v>
      </c>
      <c r="AE513" s="241">
        <v>0</v>
      </c>
      <c r="AF513" s="241">
        <v>0</v>
      </c>
      <c r="AG513" s="241">
        <v>0</v>
      </c>
      <c r="AH513" s="241">
        <v>0</v>
      </c>
      <c r="AI513" s="241">
        <v>0</v>
      </c>
      <c r="AJ513" s="241">
        <v>0</v>
      </c>
      <c r="AK513" s="241">
        <v>0</v>
      </c>
      <c r="AL513" s="241">
        <v>0</v>
      </c>
      <c r="AM513" s="241">
        <v>0</v>
      </c>
      <c r="AN513" s="241">
        <v>0</v>
      </c>
      <c r="AO513" s="245"/>
      <c r="AP513" s="241">
        <v>0</v>
      </c>
      <c r="AQ513" s="241">
        <v>0</v>
      </c>
      <c r="AR513" s="241">
        <v>0</v>
      </c>
      <c r="AS513" s="241">
        <v>0</v>
      </c>
      <c r="AT513" s="241">
        <v>0</v>
      </c>
      <c r="AU513" s="241">
        <v>0</v>
      </c>
      <c r="AV513" s="241">
        <v>0</v>
      </c>
      <c r="AW513" s="241">
        <v>0</v>
      </c>
      <c r="AX513" s="241">
        <v>0</v>
      </c>
      <c r="AY513" s="241">
        <v>0</v>
      </c>
      <c r="AZ513" s="241">
        <v>0</v>
      </c>
      <c r="BA513" s="241">
        <v>0</v>
      </c>
    </row>
    <row r="514" spans="1:53" s="244" customFormat="1" ht="0.75" customHeight="1" outlineLevel="2" x14ac:dyDescent="0.25">
      <c r="A514" s="211"/>
      <c r="B514" s="212"/>
      <c r="C514" s="238"/>
      <c r="D514" s="246"/>
      <c r="E514" s="246"/>
      <c r="F514" s="241"/>
      <c r="G514" s="241"/>
      <c r="H514" s="236"/>
      <c r="I514" s="237"/>
      <c r="J514" s="242"/>
      <c r="K514" s="241"/>
      <c r="L514" s="241"/>
      <c r="M514" s="236"/>
      <c r="N514" s="237"/>
      <c r="O514" s="148"/>
      <c r="P514" s="243"/>
      <c r="Q514" s="241"/>
      <c r="R514" s="241"/>
      <c r="S514" s="236"/>
      <c r="T514" s="237"/>
      <c r="U514" s="243"/>
      <c r="V514" s="241"/>
      <c r="W514" s="241"/>
      <c r="X514" s="236"/>
      <c r="Y514" s="232"/>
      <c r="AA514" s="241"/>
      <c r="AB514" s="245"/>
      <c r="AC514" s="241"/>
      <c r="AD514" s="241"/>
      <c r="AE514" s="241"/>
      <c r="AF514" s="241"/>
      <c r="AG514" s="241"/>
      <c r="AH514" s="241"/>
      <c r="AI514" s="241"/>
      <c r="AJ514" s="241"/>
      <c r="AK514" s="241"/>
      <c r="AL514" s="241"/>
      <c r="AM514" s="241"/>
      <c r="AN514" s="241"/>
      <c r="AO514" s="245"/>
      <c r="AP514" s="241"/>
      <c r="AQ514" s="241"/>
      <c r="AR514" s="241"/>
      <c r="AS514" s="241"/>
      <c r="AT514" s="241"/>
      <c r="AU514" s="241"/>
      <c r="AV514" s="241"/>
      <c r="AW514" s="241"/>
      <c r="AX514" s="241"/>
      <c r="AY514" s="241"/>
      <c r="AZ514" s="241"/>
      <c r="BA514" s="241"/>
    </row>
    <row r="515" spans="1:53" s="138" customFormat="1" outlineLevel="2" x14ac:dyDescent="0.25">
      <c r="A515" s="138" t="s">
        <v>1450</v>
      </c>
      <c r="B515" s="139" t="s">
        <v>1451</v>
      </c>
      <c r="C515" s="140" t="s">
        <v>1452</v>
      </c>
      <c r="D515" s="141"/>
      <c r="E515" s="142"/>
      <c r="F515" s="143">
        <v>0</v>
      </c>
      <c r="G515" s="143">
        <v>0</v>
      </c>
      <c r="H515" s="144">
        <f t="shared" ref="H515:H520" si="148">+F515-G515</f>
        <v>0</v>
      </c>
      <c r="I515" s="145">
        <f t="shared" ref="I515:I520" si="149">IF(G515&lt;0,IF(H515=0,0,IF(OR(G515=0,F515=0),"N.M.",IF(ABS(H515/G515)&gt;=10,"N.M.",H515/(-G515)))),IF(H515=0,0,IF(OR(G515=0,F515=0),"N.M.",IF(ABS(H515/G515)&gt;=10,"N.M.",H515/G515))))</f>
        <v>0</v>
      </c>
      <c r="J515" s="146"/>
      <c r="K515" s="143">
        <v>0</v>
      </c>
      <c r="L515" s="143">
        <v>0</v>
      </c>
      <c r="M515" s="144">
        <f t="shared" ref="M515:M520" si="150">+K515-L515</f>
        <v>0</v>
      </c>
      <c r="N515" s="145">
        <f t="shared" ref="N515:N520" si="151">IF(L515&lt;0,IF(M515=0,0,IF(OR(L515=0,K515=0),"N.M.",IF(ABS(M515/L515)&gt;=10,"N.M.",M515/(-L515)))),IF(M515=0,0,IF(OR(L515=0,K515=0),"N.M.",IF(ABS(M515/L515)&gt;=10,"N.M.",M515/L515))))</f>
        <v>0</v>
      </c>
      <c r="O515" s="147"/>
      <c r="P515" s="146"/>
      <c r="Q515" s="143">
        <v>0</v>
      </c>
      <c r="R515" s="143">
        <v>0</v>
      </c>
      <c r="S515" s="144">
        <f t="shared" ref="S515:S520" si="152">+Q515-R515</f>
        <v>0</v>
      </c>
      <c r="T515" s="145">
        <f t="shared" ref="T515:T520" si="153">IF(R515&lt;0,IF(S515=0,0,IF(OR(R515=0,Q515=0),"N.M.",IF(ABS(S515/R515)&gt;=10,"N.M.",S515/(-R515)))),IF(S515=0,0,IF(OR(R515=0,Q515=0),"N.M.",IF(ABS(S515/R515)&gt;=10,"N.M.",S515/R515))))</f>
        <v>0</v>
      </c>
      <c r="U515" s="146"/>
      <c r="V515" s="143">
        <v>75.78</v>
      </c>
      <c r="W515" s="143">
        <v>110.04</v>
      </c>
      <c r="X515" s="144">
        <f t="shared" ref="X515:X520" si="154">+V515-W515</f>
        <v>-34.260000000000005</v>
      </c>
      <c r="Y515" s="145">
        <f t="shared" ref="Y515:Y520" si="155">IF(W515&lt;0,IF(X515=0,0,IF(OR(W515=0,V515=0),"N.M.",IF(ABS(X515/W515)&gt;=10,"N.M.",X515/(-W515)))),IF(X515=0,0,IF(OR(W515=0,V515=0),"N.M.",IF(ABS(X515/W515)&gt;=10,"N.M.",X515/W515))))</f>
        <v>-0.31134133042529993</v>
      </c>
      <c r="Z515" s="148"/>
      <c r="AA515" s="149">
        <v>0</v>
      </c>
      <c r="AB515" s="150"/>
      <c r="AC515" s="117">
        <v>0</v>
      </c>
      <c r="AD515" s="117">
        <v>0</v>
      </c>
      <c r="AE515" s="117">
        <v>75.78</v>
      </c>
      <c r="AF515" s="117">
        <v>0</v>
      </c>
      <c r="AG515" s="117">
        <v>0</v>
      </c>
      <c r="AH515" s="117">
        <v>0</v>
      </c>
      <c r="AI515" s="117">
        <v>0</v>
      </c>
      <c r="AJ515" s="117">
        <v>0</v>
      </c>
      <c r="AK515" s="117">
        <v>0</v>
      </c>
      <c r="AL515" s="117">
        <v>0</v>
      </c>
      <c r="AM515" s="117">
        <v>0</v>
      </c>
      <c r="AN515" s="117">
        <v>0</v>
      </c>
      <c r="AO515" s="150"/>
      <c r="AP515" s="117">
        <v>0</v>
      </c>
      <c r="AQ515" s="117">
        <v>0</v>
      </c>
      <c r="AR515" s="117">
        <v>0</v>
      </c>
      <c r="AS515" s="117">
        <v>0</v>
      </c>
      <c r="AT515" s="117">
        <v>0</v>
      </c>
      <c r="AU515" s="117">
        <v>0</v>
      </c>
      <c r="AV515" s="117">
        <v>0</v>
      </c>
      <c r="AW515" s="117">
        <v>0</v>
      </c>
      <c r="AX515" s="117">
        <v>0</v>
      </c>
      <c r="AY515" s="117">
        <v>0</v>
      </c>
      <c r="AZ515" s="117">
        <v>0</v>
      </c>
      <c r="BA515" s="117">
        <v>0</v>
      </c>
    </row>
    <row r="516" spans="1:53" s="138" customFormat="1" outlineLevel="2" x14ac:dyDescent="0.25">
      <c r="A516" s="138" t="s">
        <v>1453</v>
      </c>
      <c r="B516" s="139" t="s">
        <v>1454</v>
      </c>
      <c r="C516" s="140" t="s">
        <v>1455</v>
      </c>
      <c r="D516" s="141"/>
      <c r="E516" s="142"/>
      <c r="F516" s="143">
        <v>0</v>
      </c>
      <c r="G516" s="143">
        <v>0</v>
      </c>
      <c r="H516" s="144">
        <f t="shared" si="148"/>
        <v>0</v>
      </c>
      <c r="I516" s="145">
        <f t="shared" si="149"/>
        <v>0</v>
      </c>
      <c r="J516" s="146"/>
      <c r="K516" s="143">
        <v>0</v>
      </c>
      <c r="L516" s="143">
        <v>0</v>
      </c>
      <c r="M516" s="144">
        <f t="shared" si="150"/>
        <v>0</v>
      </c>
      <c r="N516" s="145">
        <f t="shared" si="151"/>
        <v>0</v>
      </c>
      <c r="O516" s="147"/>
      <c r="P516" s="146"/>
      <c r="Q516" s="143">
        <v>0</v>
      </c>
      <c r="R516" s="143">
        <v>0</v>
      </c>
      <c r="S516" s="144">
        <f t="shared" si="152"/>
        <v>0</v>
      </c>
      <c r="T516" s="145">
        <f t="shared" si="153"/>
        <v>0</v>
      </c>
      <c r="U516" s="146"/>
      <c r="V516" s="143">
        <v>2572.56</v>
      </c>
      <c r="W516" s="143">
        <v>0</v>
      </c>
      <c r="X516" s="144">
        <f t="shared" si="154"/>
        <v>2572.56</v>
      </c>
      <c r="Y516" s="145" t="str">
        <f t="shared" si="155"/>
        <v>N.M.</v>
      </c>
      <c r="Z516" s="148"/>
      <c r="AA516" s="149">
        <v>0</v>
      </c>
      <c r="AB516" s="150"/>
      <c r="AC516" s="117">
        <v>0</v>
      </c>
      <c r="AD516" s="117">
        <v>0</v>
      </c>
      <c r="AE516" s="117">
        <v>0</v>
      </c>
      <c r="AF516" s="117">
        <v>0</v>
      </c>
      <c r="AG516" s="117">
        <v>0</v>
      </c>
      <c r="AH516" s="117">
        <v>0</v>
      </c>
      <c r="AI516" s="117">
        <v>0</v>
      </c>
      <c r="AJ516" s="117">
        <v>0</v>
      </c>
      <c r="AK516" s="117">
        <v>2572.56</v>
      </c>
      <c r="AL516" s="117">
        <v>0</v>
      </c>
      <c r="AM516" s="117">
        <v>0</v>
      </c>
      <c r="AN516" s="117">
        <v>0</v>
      </c>
      <c r="AO516" s="150"/>
      <c r="AP516" s="117">
        <v>0</v>
      </c>
      <c r="AQ516" s="117">
        <v>0</v>
      </c>
      <c r="AR516" s="117">
        <v>0</v>
      </c>
      <c r="AS516" s="117">
        <v>0</v>
      </c>
      <c r="AT516" s="117">
        <v>0</v>
      </c>
      <c r="AU516" s="117">
        <v>0</v>
      </c>
      <c r="AV516" s="117">
        <v>0</v>
      </c>
      <c r="AW516" s="117">
        <v>0</v>
      </c>
      <c r="AX516" s="117">
        <v>0</v>
      </c>
      <c r="AY516" s="117">
        <v>0</v>
      </c>
      <c r="AZ516" s="117">
        <v>0</v>
      </c>
      <c r="BA516" s="117">
        <v>0</v>
      </c>
    </row>
    <row r="517" spans="1:53" s="138" customFormat="1" outlineLevel="2" x14ac:dyDescent="0.25">
      <c r="A517" s="138" t="s">
        <v>1456</v>
      </c>
      <c r="B517" s="139" t="s">
        <v>1457</v>
      </c>
      <c r="C517" s="140" t="s">
        <v>1458</v>
      </c>
      <c r="D517" s="141"/>
      <c r="E517" s="142"/>
      <c r="F517" s="143">
        <v>0</v>
      </c>
      <c r="G517" s="143">
        <v>0</v>
      </c>
      <c r="H517" s="144">
        <f t="shared" si="148"/>
        <v>0</v>
      </c>
      <c r="I517" s="145">
        <f t="shared" si="149"/>
        <v>0</v>
      </c>
      <c r="J517" s="146"/>
      <c r="K517" s="143">
        <v>0</v>
      </c>
      <c r="L517" s="143">
        <v>0</v>
      </c>
      <c r="M517" s="144">
        <f t="shared" si="150"/>
        <v>0</v>
      </c>
      <c r="N517" s="145">
        <f t="shared" si="151"/>
        <v>0</v>
      </c>
      <c r="O517" s="147"/>
      <c r="P517" s="146"/>
      <c r="Q517" s="143">
        <v>0</v>
      </c>
      <c r="R517" s="143">
        <v>0</v>
      </c>
      <c r="S517" s="144">
        <f t="shared" si="152"/>
        <v>0</v>
      </c>
      <c r="T517" s="145">
        <f t="shared" si="153"/>
        <v>0</v>
      </c>
      <c r="U517" s="146"/>
      <c r="V517" s="143">
        <v>235500</v>
      </c>
      <c r="W517" s="143">
        <v>131500</v>
      </c>
      <c r="X517" s="144">
        <f t="shared" si="154"/>
        <v>104000</v>
      </c>
      <c r="Y517" s="145">
        <f t="shared" si="155"/>
        <v>0.79087452471482889</v>
      </c>
      <c r="Z517" s="148"/>
      <c r="AA517" s="149">
        <v>0</v>
      </c>
      <c r="AB517" s="150"/>
      <c r="AC517" s="117">
        <v>0</v>
      </c>
      <c r="AD517" s="117">
        <v>0</v>
      </c>
      <c r="AE517" s="117">
        <v>134000</v>
      </c>
      <c r="AF517" s="117">
        <v>0</v>
      </c>
      <c r="AG517" s="117">
        <v>0</v>
      </c>
      <c r="AH517" s="117">
        <v>0</v>
      </c>
      <c r="AI517" s="117">
        <v>101500</v>
      </c>
      <c r="AJ517" s="117">
        <v>0</v>
      </c>
      <c r="AK517" s="117">
        <v>0</v>
      </c>
      <c r="AL517" s="117">
        <v>0</v>
      </c>
      <c r="AM517" s="117">
        <v>0</v>
      </c>
      <c r="AN517" s="117">
        <v>0</v>
      </c>
      <c r="AO517" s="150"/>
      <c r="AP517" s="117">
        <v>0</v>
      </c>
      <c r="AQ517" s="117">
        <v>0</v>
      </c>
      <c r="AR517" s="117">
        <v>0</v>
      </c>
      <c r="AS517" s="117">
        <v>0</v>
      </c>
      <c r="AT517" s="117">
        <v>0</v>
      </c>
      <c r="AU517" s="117">
        <v>0</v>
      </c>
      <c r="AV517" s="117">
        <v>0</v>
      </c>
      <c r="AW517" s="117">
        <v>0</v>
      </c>
      <c r="AX517" s="117">
        <v>0</v>
      </c>
      <c r="AY517" s="117">
        <v>0</v>
      </c>
      <c r="AZ517" s="117">
        <v>0</v>
      </c>
      <c r="BA517" s="117">
        <v>0</v>
      </c>
    </row>
    <row r="518" spans="1:53" s="138" customFormat="1" outlineLevel="2" x14ac:dyDescent="0.25">
      <c r="A518" s="138" t="s">
        <v>1459</v>
      </c>
      <c r="B518" s="139" t="s">
        <v>1460</v>
      </c>
      <c r="C518" s="140" t="s">
        <v>1461</v>
      </c>
      <c r="D518" s="141"/>
      <c r="E518" s="142"/>
      <c r="F518" s="143">
        <v>0</v>
      </c>
      <c r="G518" s="143">
        <v>1725</v>
      </c>
      <c r="H518" s="144">
        <f t="shared" si="148"/>
        <v>-1725</v>
      </c>
      <c r="I518" s="145" t="str">
        <f t="shared" si="149"/>
        <v>N.M.</v>
      </c>
      <c r="J518" s="146"/>
      <c r="K518" s="143">
        <v>0</v>
      </c>
      <c r="L518" s="143">
        <v>124125</v>
      </c>
      <c r="M518" s="144">
        <f t="shared" si="150"/>
        <v>-124125</v>
      </c>
      <c r="N518" s="145" t="str">
        <f t="shared" si="151"/>
        <v>N.M.</v>
      </c>
      <c r="O518" s="147"/>
      <c r="P518" s="146"/>
      <c r="Q518" s="143">
        <v>5100</v>
      </c>
      <c r="R518" s="143">
        <v>124125</v>
      </c>
      <c r="S518" s="144">
        <f t="shared" si="152"/>
        <v>-119025</v>
      </c>
      <c r="T518" s="145">
        <f t="shared" si="153"/>
        <v>-0.95891238670694867</v>
      </c>
      <c r="U518" s="146"/>
      <c r="V518" s="143">
        <v>33600</v>
      </c>
      <c r="W518" s="143">
        <v>385125</v>
      </c>
      <c r="X518" s="144">
        <f t="shared" si="154"/>
        <v>-351525</v>
      </c>
      <c r="Y518" s="145">
        <f t="shared" si="155"/>
        <v>-0.91275559883154822</v>
      </c>
      <c r="Z518" s="148"/>
      <c r="AA518" s="149">
        <v>0</v>
      </c>
      <c r="AB518" s="150"/>
      <c r="AC518" s="117">
        <v>122400</v>
      </c>
      <c r="AD518" s="117">
        <v>1725</v>
      </c>
      <c r="AE518" s="117">
        <v>0</v>
      </c>
      <c r="AF518" s="117">
        <v>0</v>
      </c>
      <c r="AG518" s="117">
        <v>0</v>
      </c>
      <c r="AH518" s="117">
        <v>0</v>
      </c>
      <c r="AI518" s="117">
        <v>18000</v>
      </c>
      <c r="AJ518" s="117">
        <v>0</v>
      </c>
      <c r="AK518" s="117">
        <v>10500</v>
      </c>
      <c r="AL518" s="117">
        <v>0</v>
      </c>
      <c r="AM518" s="117">
        <v>0</v>
      </c>
      <c r="AN518" s="117">
        <v>5100</v>
      </c>
      <c r="AO518" s="150"/>
      <c r="AP518" s="117">
        <v>0</v>
      </c>
      <c r="AQ518" s="117">
        <v>0</v>
      </c>
      <c r="AR518" s="117">
        <v>0</v>
      </c>
      <c r="AS518" s="117">
        <v>0</v>
      </c>
      <c r="AT518" s="117">
        <v>0</v>
      </c>
      <c r="AU518" s="117">
        <v>0</v>
      </c>
      <c r="AV518" s="117">
        <v>0</v>
      </c>
      <c r="AW518" s="117">
        <v>0</v>
      </c>
      <c r="AX518" s="117">
        <v>0</v>
      </c>
      <c r="AY518" s="117">
        <v>0</v>
      </c>
      <c r="AZ518" s="117">
        <v>0</v>
      </c>
      <c r="BA518" s="117">
        <v>0</v>
      </c>
    </row>
    <row r="519" spans="1:53" s="138" customFormat="1" outlineLevel="2" x14ac:dyDescent="0.25">
      <c r="A519" s="138" t="s">
        <v>1462</v>
      </c>
      <c r="B519" s="139" t="s">
        <v>118</v>
      </c>
      <c r="C519" s="140" t="s">
        <v>115</v>
      </c>
      <c r="D519" s="141"/>
      <c r="E519" s="142"/>
      <c r="F519" s="143">
        <v>4646.24</v>
      </c>
      <c r="G519" s="143">
        <v>-6864.33</v>
      </c>
      <c r="H519" s="144">
        <f t="shared" si="148"/>
        <v>11510.57</v>
      </c>
      <c r="I519" s="145">
        <f t="shared" si="149"/>
        <v>1.6768672252062473</v>
      </c>
      <c r="J519" s="146"/>
      <c r="K519" s="143">
        <v>-6462.99</v>
      </c>
      <c r="L519" s="143">
        <v>155441.76</v>
      </c>
      <c r="M519" s="144">
        <f t="shared" si="150"/>
        <v>-161904.75</v>
      </c>
      <c r="N519" s="145">
        <f t="shared" si="151"/>
        <v>-1.041578209099022</v>
      </c>
      <c r="O519" s="147"/>
      <c r="P519" s="146"/>
      <c r="Q519" s="143">
        <v>-6462.99</v>
      </c>
      <c r="R519" s="143">
        <v>215546.76</v>
      </c>
      <c r="S519" s="144">
        <f t="shared" si="152"/>
        <v>-222009.75</v>
      </c>
      <c r="T519" s="145">
        <f t="shared" si="153"/>
        <v>-1.0299841667766196</v>
      </c>
      <c r="U519" s="146"/>
      <c r="V519" s="143">
        <v>-92535.52</v>
      </c>
      <c r="W519" s="143">
        <v>84843.760000000009</v>
      </c>
      <c r="X519" s="144">
        <f t="shared" si="154"/>
        <v>-177379.28000000003</v>
      </c>
      <c r="Y519" s="145">
        <f t="shared" si="155"/>
        <v>-2.0906579340660998</v>
      </c>
      <c r="Z519" s="148"/>
      <c r="AA519" s="149">
        <v>60105</v>
      </c>
      <c r="AB519" s="150"/>
      <c r="AC519" s="117">
        <v>162306.09</v>
      </c>
      <c r="AD519" s="117">
        <v>-6864.33</v>
      </c>
      <c r="AE519" s="117">
        <v>-48337.56</v>
      </c>
      <c r="AF519" s="117">
        <v>-256102.61000000002</v>
      </c>
      <c r="AG519" s="117">
        <v>24952.87</v>
      </c>
      <c r="AH519" s="117">
        <v>115804.77</v>
      </c>
      <c r="AI519" s="117">
        <v>148135.89000000001</v>
      </c>
      <c r="AJ519" s="117">
        <v>-58681.41</v>
      </c>
      <c r="AK519" s="117">
        <v>33785.47</v>
      </c>
      <c r="AL519" s="117">
        <v>-58867.03</v>
      </c>
      <c r="AM519" s="117">
        <v>13237.08</v>
      </c>
      <c r="AN519" s="117">
        <v>0</v>
      </c>
      <c r="AO519" s="150"/>
      <c r="AP519" s="117">
        <v>-11109.23</v>
      </c>
      <c r="AQ519" s="117">
        <v>4646.24</v>
      </c>
      <c r="AR519" s="117">
        <v>8209</v>
      </c>
      <c r="AS519" s="117">
        <v>-517.24</v>
      </c>
      <c r="AT519" s="117">
        <v>0</v>
      </c>
      <c r="AU519" s="117">
        <v>0</v>
      </c>
      <c r="AV519" s="117">
        <v>0</v>
      </c>
      <c r="AW519" s="117">
        <v>0</v>
      </c>
      <c r="AX519" s="117">
        <v>0</v>
      </c>
      <c r="AY519" s="117">
        <v>0</v>
      </c>
      <c r="AZ519" s="117">
        <v>0</v>
      </c>
      <c r="BA519" s="117">
        <v>0</v>
      </c>
    </row>
    <row r="520" spans="1:53" s="244" customFormat="1" x14ac:dyDescent="0.25">
      <c r="A520" s="211" t="s">
        <v>1463</v>
      </c>
      <c r="B520" s="212" t="s">
        <v>1464</v>
      </c>
      <c r="C520" s="238" t="s">
        <v>1465</v>
      </c>
      <c r="D520" s="246"/>
      <c r="E520" s="246"/>
      <c r="F520" s="241">
        <v>4646.24</v>
      </c>
      <c r="G520" s="241">
        <v>-5139.33</v>
      </c>
      <c r="H520" s="236">
        <f t="shared" si="148"/>
        <v>9785.57</v>
      </c>
      <c r="I520" s="237">
        <f t="shared" si="149"/>
        <v>1.9040555870123148</v>
      </c>
      <c r="J520" s="242"/>
      <c r="K520" s="241">
        <v>-6462.99</v>
      </c>
      <c r="L520" s="241">
        <v>279566.76</v>
      </c>
      <c r="M520" s="236">
        <f t="shared" si="150"/>
        <v>-286029.75</v>
      </c>
      <c r="N520" s="237">
        <f t="shared" si="151"/>
        <v>-1.0231178771038445</v>
      </c>
      <c r="O520" s="181"/>
      <c r="P520" s="263"/>
      <c r="Q520" s="241">
        <v>-1362.9899999999998</v>
      </c>
      <c r="R520" s="241">
        <v>339671.76</v>
      </c>
      <c r="S520" s="236">
        <f t="shared" si="152"/>
        <v>-341034.75</v>
      </c>
      <c r="T520" s="237">
        <f t="shared" si="153"/>
        <v>-1.0040126679945369</v>
      </c>
      <c r="U520" s="263"/>
      <c r="V520" s="241">
        <v>179212.81999999998</v>
      </c>
      <c r="W520" s="241">
        <v>601578.80000000005</v>
      </c>
      <c r="X520" s="236">
        <f t="shared" si="154"/>
        <v>-422365.9800000001</v>
      </c>
      <c r="Y520" s="232">
        <f t="shared" si="155"/>
        <v>-0.70209585178201106</v>
      </c>
      <c r="AA520" s="241">
        <v>60105</v>
      </c>
      <c r="AB520" s="245"/>
      <c r="AC520" s="241">
        <v>284706.08999999997</v>
      </c>
      <c r="AD520" s="241">
        <v>-5139.33</v>
      </c>
      <c r="AE520" s="241">
        <v>85738.22</v>
      </c>
      <c r="AF520" s="241">
        <v>-256102.61000000002</v>
      </c>
      <c r="AG520" s="241">
        <v>24952.87</v>
      </c>
      <c r="AH520" s="241">
        <v>115804.77</v>
      </c>
      <c r="AI520" s="241">
        <v>267635.89</v>
      </c>
      <c r="AJ520" s="241">
        <v>-58681.41</v>
      </c>
      <c r="AK520" s="241">
        <v>46858.03</v>
      </c>
      <c r="AL520" s="241">
        <v>-58867.03</v>
      </c>
      <c r="AM520" s="241">
        <v>13237.08</v>
      </c>
      <c r="AN520" s="241">
        <v>5100</v>
      </c>
      <c r="AO520" s="245"/>
      <c r="AP520" s="241">
        <v>-11109.23</v>
      </c>
      <c r="AQ520" s="241">
        <v>4646.24</v>
      </c>
      <c r="AR520" s="241">
        <v>8209</v>
      </c>
      <c r="AS520" s="241">
        <v>-517.24</v>
      </c>
      <c r="AT520" s="241">
        <v>0</v>
      </c>
      <c r="AU520" s="241">
        <v>0</v>
      </c>
      <c r="AV520" s="241">
        <v>0</v>
      </c>
      <c r="AW520" s="241">
        <v>0</v>
      </c>
      <c r="AX520" s="241">
        <v>0</v>
      </c>
      <c r="AY520" s="241">
        <v>0</v>
      </c>
      <c r="AZ520" s="241">
        <v>0</v>
      </c>
      <c r="BA520" s="241">
        <v>0</v>
      </c>
    </row>
    <row r="521" spans="1:53" s="244" customFormat="1" ht="0.75" customHeight="1" outlineLevel="2" x14ac:dyDescent="0.25">
      <c r="A521" s="211"/>
      <c r="B521" s="212"/>
      <c r="C521" s="238"/>
      <c r="D521" s="246"/>
      <c r="E521" s="246"/>
      <c r="F521" s="241"/>
      <c r="G521" s="241"/>
      <c r="H521" s="236"/>
      <c r="I521" s="237"/>
      <c r="J521" s="242"/>
      <c r="K521" s="241"/>
      <c r="L521" s="241"/>
      <c r="M521" s="236"/>
      <c r="N521" s="237"/>
      <c r="O521" s="181"/>
      <c r="P521" s="263"/>
      <c r="Q521" s="241"/>
      <c r="R521" s="241"/>
      <c r="S521" s="236"/>
      <c r="T521" s="237"/>
      <c r="U521" s="263"/>
      <c r="V521" s="241"/>
      <c r="W521" s="241"/>
      <c r="X521" s="236"/>
      <c r="Y521" s="232"/>
      <c r="AA521" s="241"/>
      <c r="AB521" s="245"/>
      <c r="AC521" s="241"/>
      <c r="AD521" s="241"/>
      <c r="AE521" s="241"/>
      <c r="AF521" s="241"/>
      <c r="AG521" s="241"/>
      <c r="AH521" s="241"/>
      <c r="AI521" s="241"/>
      <c r="AJ521" s="241"/>
      <c r="AK521" s="241"/>
      <c r="AL521" s="241"/>
      <c r="AM521" s="241"/>
      <c r="AN521" s="241"/>
      <c r="AO521" s="245"/>
      <c r="AP521" s="241"/>
      <c r="AQ521" s="241"/>
      <c r="AR521" s="241"/>
      <c r="AS521" s="241"/>
      <c r="AT521" s="241"/>
      <c r="AU521" s="241"/>
      <c r="AV521" s="241"/>
      <c r="AW521" s="241"/>
      <c r="AX521" s="241"/>
      <c r="AY521" s="241"/>
      <c r="AZ521" s="241"/>
      <c r="BA521" s="241"/>
    </row>
    <row r="522" spans="1:53" s="244" customFormat="1" x14ac:dyDescent="0.25">
      <c r="A522" s="211" t="s">
        <v>1466</v>
      </c>
      <c r="B522" s="212" t="s">
        <v>1467</v>
      </c>
      <c r="C522" s="238" t="s">
        <v>1468</v>
      </c>
      <c r="D522" s="246"/>
      <c r="E522" s="246"/>
      <c r="F522" s="241">
        <v>0</v>
      </c>
      <c r="G522" s="241">
        <v>0</v>
      </c>
      <c r="H522" s="236">
        <f>+F522-G522</f>
        <v>0</v>
      </c>
      <c r="I522" s="237">
        <f>IF(G522&lt;0,IF(H522=0,0,IF(OR(G522=0,F522=0),"N.M.",IF(ABS(H522/G522)&gt;=10,"N.M.",H522/(-G522)))),IF(H522=0,0,IF(OR(G522=0,F522=0),"N.M.",IF(ABS(H522/G522)&gt;=10,"N.M.",H522/G522))))</f>
        <v>0</v>
      </c>
      <c r="J522" s="242"/>
      <c r="K522" s="241">
        <v>0</v>
      </c>
      <c r="L522" s="241">
        <v>0</v>
      </c>
      <c r="M522" s="236">
        <f>+K522-L522</f>
        <v>0</v>
      </c>
      <c r="N522" s="237">
        <f>IF(L522&lt;0,IF(M522=0,0,IF(OR(L522=0,K522=0),"N.M.",IF(ABS(M522/L522)&gt;=10,"N.M.",M522/(-L522)))),IF(M522=0,0,IF(OR(L522=0,K522=0),"N.M.",IF(ABS(M522/L522)&gt;=10,"N.M.",M522/L522))))</f>
        <v>0</v>
      </c>
      <c r="O522" s="148"/>
      <c r="P522" s="243"/>
      <c r="Q522" s="241">
        <v>0</v>
      </c>
      <c r="R522" s="241">
        <v>0</v>
      </c>
      <c r="S522" s="236">
        <f>+Q522-R522</f>
        <v>0</v>
      </c>
      <c r="T522" s="237">
        <f>IF(R522&lt;0,IF(S522=0,0,IF(OR(R522=0,Q522=0),"N.M.",IF(ABS(S522/R522)&gt;=10,"N.M.",S522/(-R522)))),IF(S522=0,0,IF(OR(R522=0,Q522=0),"N.M.",IF(ABS(S522/R522)&gt;=10,"N.M.",S522/R522))))</f>
        <v>0</v>
      </c>
      <c r="U522" s="243"/>
      <c r="V522" s="241">
        <v>0</v>
      </c>
      <c r="W522" s="241">
        <v>0</v>
      </c>
      <c r="X522" s="236">
        <f>+V522-W522</f>
        <v>0</v>
      </c>
      <c r="Y522" s="232">
        <f>IF(W522&lt;0,IF(X522=0,0,IF(OR(W522=0,V522=0),"N.M.",IF(ABS(X522/W522)&gt;=10,"N.M.",X522/(-W522)))),IF(X522=0,0,IF(OR(W522=0,V522=0),"N.M.",IF(ABS(X522/W522)&gt;=10,"N.M.",X522/W522))))</f>
        <v>0</v>
      </c>
      <c r="AA522" s="241">
        <v>0</v>
      </c>
      <c r="AB522" s="245"/>
      <c r="AC522" s="241">
        <v>0</v>
      </c>
      <c r="AD522" s="241">
        <v>0</v>
      </c>
      <c r="AE522" s="241">
        <v>0</v>
      </c>
      <c r="AF522" s="241">
        <v>0</v>
      </c>
      <c r="AG522" s="241">
        <v>0</v>
      </c>
      <c r="AH522" s="241">
        <v>0</v>
      </c>
      <c r="AI522" s="241">
        <v>0</v>
      </c>
      <c r="AJ522" s="241">
        <v>0</v>
      </c>
      <c r="AK522" s="241">
        <v>0</v>
      </c>
      <c r="AL522" s="241">
        <v>0</v>
      </c>
      <c r="AM522" s="241">
        <v>0</v>
      </c>
      <c r="AN522" s="241">
        <v>0</v>
      </c>
      <c r="AO522" s="245"/>
      <c r="AP522" s="241">
        <v>0</v>
      </c>
      <c r="AQ522" s="241">
        <v>0</v>
      </c>
      <c r="AR522" s="241">
        <v>0</v>
      </c>
      <c r="AS522" s="241">
        <v>0</v>
      </c>
      <c r="AT522" s="241">
        <v>0</v>
      </c>
      <c r="AU522" s="241">
        <v>0</v>
      </c>
      <c r="AV522" s="241">
        <v>0</v>
      </c>
      <c r="AW522" s="241">
        <v>0</v>
      </c>
      <c r="AX522" s="241">
        <v>0</v>
      </c>
      <c r="AY522" s="241">
        <v>0</v>
      </c>
      <c r="AZ522" s="241">
        <v>0</v>
      </c>
      <c r="BA522" s="241">
        <v>0</v>
      </c>
    </row>
    <row r="523" spans="1:53" s="244" customFormat="1" ht="0.75" customHeight="1" outlineLevel="2" x14ac:dyDescent="0.25">
      <c r="A523" s="211"/>
      <c r="B523" s="212"/>
      <c r="C523" s="238"/>
      <c r="D523" s="246"/>
      <c r="E523" s="246"/>
      <c r="F523" s="241"/>
      <c r="G523" s="241"/>
      <c r="H523" s="236"/>
      <c r="I523" s="237"/>
      <c r="J523" s="242"/>
      <c r="K523" s="241"/>
      <c r="L523" s="241"/>
      <c r="M523" s="236"/>
      <c r="N523" s="237"/>
      <c r="O523" s="148"/>
      <c r="P523" s="243"/>
      <c r="Q523" s="241"/>
      <c r="R523" s="241"/>
      <c r="S523" s="236"/>
      <c r="T523" s="237"/>
      <c r="U523" s="243"/>
      <c r="V523" s="241"/>
      <c r="W523" s="241"/>
      <c r="X523" s="236"/>
      <c r="Y523" s="232"/>
      <c r="AA523" s="241"/>
      <c r="AB523" s="245"/>
      <c r="AC523" s="241"/>
      <c r="AD523" s="241"/>
      <c r="AE523" s="241"/>
      <c r="AF523" s="241"/>
      <c r="AG523" s="241"/>
      <c r="AH523" s="241"/>
      <c r="AI523" s="241"/>
      <c r="AJ523" s="241"/>
      <c r="AK523" s="241"/>
      <c r="AL523" s="241"/>
      <c r="AM523" s="241"/>
      <c r="AN523" s="241"/>
      <c r="AO523" s="245"/>
      <c r="AP523" s="241"/>
      <c r="AQ523" s="241"/>
      <c r="AR523" s="241"/>
      <c r="AS523" s="241"/>
      <c r="AT523" s="241"/>
      <c r="AU523" s="241"/>
      <c r="AV523" s="241"/>
      <c r="AW523" s="241"/>
      <c r="AX523" s="241"/>
      <c r="AY523" s="241"/>
      <c r="AZ523" s="241"/>
      <c r="BA523" s="241"/>
    </row>
    <row r="524" spans="1:53" s="138" customFormat="1" outlineLevel="2" x14ac:dyDescent="0.25">
      <c r="A524" s="138" t="s">
        <v>1469</v>
      </c>
      <c r="B524" s="139" t="s">
        <v>1470</v>
      </c>
      <c r="C524" s="140" t="s">
        <v>1471</v>
      </c>
      <c r="D524" s="141"/>
      <c r="E524" s="142"/>
      <c r="F524" s="143">
        <v>63619.840000000004</v>
      </c>
      <c r="G524" s="143">
        <v>57248.62</v>
      </c>
      <c r="H524" s="144">
        <f>+F524-G524</f>
        <v>6371.2200000000012</v>
      </c>
      <c r="I524" s="145">
        <f>IF(G524&lt;0,IF(H524=0,0,IF(OR(G524=0,F524=0),"N.M.",IF(ABS(H524/G524)&gt;=10,"N.M.",H524/(-G524)))),IF(H524=0,0,IF(OR(G524=0,F524=0),"N.M.",IF(ABS(H524/G524)&gt;=10,"N.M.",H524/G524))))</f>
        <v>0.11129036822197637</v>
      </c>
      <c r="J524" s="146"/>
      <c r="K524" s="143">
        <v>127109.54000000001</v>
      </c>
      <c r="L524" s="143">
        <v>114262.46</v>
      </c>
      <c r="M524" s="144">
        <f>+K524-L524</f>
        <v>12847.080000000002</v>
      </c>
      <c r="N524" s="145">
        <f>IF(L524&lt;0,IF(M524=0,0,IF(OR(L524=0,K524=0),"N.M.",IF(ABS(M524/L524)&gt;=10,"N.M.",M524/(-L524)))),IF(M524=0,0,IF(OR(L524=0,K524=0),"N.M.",IF(ABS(M524/L524)&gt;=10,"N.M.",M524/L524))))</f>
        <v>0.1124348276765615</v>
      </c>
      <c r="O524" s="147"/>
      <c r="P524" s="146"/>
      <c r="Q524" s="143">
        <v>377719.12</v>
      </c>
      <c r="R524" s="143">
        <v>161866.01</v>
      </c>
      <c r="S524" s="144">
        <f>+Q524-R524</f>
        <v>215853.11</v>
      </c>
      <c r="T524" s="145">
        <f>IF(R524&lt;0,IF(S524=0,0,IF(OR(R524=0,Q524=0),"N.M.",IF(ABS(S524/R524)&gt;=10,"N.M.",S524/(-R524)))),IF(S524=0,0,IF(OR(R524=0,Q524=0),"N.M.",IF(ABS(S524/R524)&gt;=10,"N.M.",S524/R524))))</f>
        <v>1.3335295655956427</v>
      </c>
      <c r="U524" s="146"/>
      <c r="V524" s="143">
        <v>897858.87</v>
      </c>
      <c r="W524" s="143">
        <v>777737.44</v>
      </c>
      <c r="X524" s="144">
        <f>+V524-W524</f>
        <v>120121.43000000005</v>
      </c>
      <c r="Y524" s="145">
        <f>IF(W524&lt;0,IF(X524=0,0,IF(OR(W524=0,V524=0),"N.M.",IF(ABS(X524/W524)&gt;=10,"N.M.",X524/(-W524)))),IF(X524=0,0,IF(OR(W524=0,V524=0),"N.M.",IF(ABS(X524/W524)&gt;=10,"N.M.",X524/W524))))</f>
        <v>0.15444984878187176</v>
      </c>
      <c r="Z524" s="148"/>
      <c r="AA524" s="149">
        <v>47603.55</v>
      </c>
      <c r="AB524" s="150"/>
      <c r="AC524" s="117">
        <v>57013.840000000004</v>
      </c>
      <c r="AD524" s="117">
        <v>57248.62</v>
      </c>
      <c r="AE524" s="117">
        <v>57470.11</v>
      </c>
      <c r="AF524" s="117">
        <v>57590.35</v>
      </c>
      <c r="AG524" s="117">
        <v>57628.5</v>
      </c>
      <c r="AH524" s="117">
        <v>57822.91</v>
      </c>
      <c r="AI524" s="117">
        <v>57822.97</v>
      </c>
      <c r="AJ524" s="117">
        <v>57845.130000000005</v>
      </c>
      <c r="AK524" s="117">
        <v>57989.39</v>
      </c>
      <c r="AL524" s="117">
        <v>58013.98</v>
      </c>
      <c r="AM524" s="117">
        <v>57956.41</v>
      </c>
      <c r="AN524" s="117">
        <v>250609.58000000002</v>
      </c>
      <c r="AO524" s="150"/>
      <c r="AP524" s="117">
        <v>63489.700000000004</v>
      </c>
      <c r="AQ524" s="117">
        <v>63619.840000000004</v>
      </c>
      <c r="AR524" s="117">
        <v>63942.48</v>
      </c>
      <c r="AS524" s="117">
        <v>0</v>
      </c>
      <c r="AT524" s="117">
        <v>0</v>
      </c>
      <c r="AU524" s="117">
        <v>0</v>
      </c>
      <c r="AV524" s="117">
        <v>0</v>
      </c>
      <c r="AW524" s="117">
        <v>0</v>
      </c>
      <c r="AX524" s="117">
        <v>0</v>
      </c>
      <c r="AY524" s="117">
        <v>0</v>
      </c>
      <c r="AZ524" s="117">
        <v>0</v>
      </c>
      <c r="BA524" s="117">
        <v>0</v>
      </c>
    </row>
    <row r="525" spans="1:53" s="244" customFormat="1" x14ac:dyDescent="0.25">
      <c r="A525" s="211" t="s">
        <v>1472</v>
      </c>
      <c r="B525" s="212" t="s">
        <v>1473</v>
      </c>
      <c r="C525" s="264" t="s">
        <v>1474</v>
      </c>
      <c r="D525" s="265"/>
      <c r="E525" s="265"/>
      <c r="F525" s="266">
        <v>63619.840000000004</v>
      </c>
      <c r="G525" s="266">
        <v>57248.62</v>
      </c>
      <c r="H525" s="267">
        <f>+F525-G525</f>
        <v>6371.2200000000012</v>
      </c>
      <c r="I525" s="268">
        <f>IF(G525&lt;0,IF(H525=0,0,IF(OR(G525=0,F525=0),"N.M.",IF(ABS(H525/G525)&gt;=10,"N.M.",H525/(-G525)))),IF(H525=0,0,IF(OR(G525=0,F525=0),"N.M.",IF(ABS(H525/G525)&gt;=10,"N.M.",H525/G525))))</f>
        <v>0.11129036822197637</v>
      </c>
      <c r="J525" s="269"/>
      <c r="K525" s="266">
        <v>127109.54000000001</v>
      </c>
      <c r="L525" s="266">
        <v>114262.46</v>
      </c>
      <c r="M525" s="267">
        <f>+K525-L525</f>
        <v>12847.080000000002</v>
      </c>
      <c r="N525" s="268">
        <f>IF(L525&lt;0,IF(M525=0,0,IF(OR(L525=0,K525=0),"N.M.",IF(ABS(M525/L525)&gt;=10,"N.M.",M525/(-L525)))),IF(M525=0,0,IF(OR(L525=0,K525=0),"N.M.",IF(ABS(M525/L525)&gt;=10,"N.M.",M525/L525))))</f>
        <v>0.1124348276765615</v>
      </c>
      <c r="O525" s="270"/>
      <c r="P525" s="271"/>
      <c r="Q525" s="266">
        <v>377719.12</v>
      </c>
      <c r="R525" s="266">
        <v>161866.01</v>
      </c>
      <c r="S525" s="267">
        <f>+Q525-R525</f>
        <v>215853.11</v>
      </c>
      <c r="T525" s="268">
        <f>IF(R525&lt;0,IF(S525=0,0,IF(OR(R525=0,Q525=0),"N.M.",IF(ABS(S525/R525)&gt;=10,"N.M.",S525/(-R525)))),IF(S525=0,0,IF(OR(R525=0,Q525=0),"N.M.",IF(ABS(S525/R525)&gt;=10,"N.M.",S525/R525))))</f>
        <v>1.3335295655956427</v>
      </c>
      <c r="U525" s="271"/>
      <c r="V525" s="266">
        <v>897858.87</v>
      </c>
      <c r="W525" s="266">
        <v>777737.44</v>
      </c>
      <c r="X525" s="267">
        <f>+V525-W525</f>
        <v>120121.43000000005</v>
      </c>
      <c r="Y525" s="272">
        <f>IF(W525&lt;0,IF(X525=0,0,IF(OR(W525=0,V525=0),"N.M.",IF(ABS(X525/W525)&gt;=10,"N.M.",X525/(-W525)))),IF(X525=0,0,IF(OR(W525=0,V525=0),"N.M.",IF(ABS(X525/W525)&gt;=10,"N.M.",X525/W525))))</f>
        <v>0.15444984878187176</v>
      </c>
      <c r="Z525" s="273"/>
      <c r="AA525" s="266">
        <v>47603.55</v>
      </c>
      <c r="AB525" s="274"/>
      <c r="AC525" s="266">
        <v>57013.840000000004</v>
      </c>
      <c r="AD525" s="266">
        <v>57248.62</v>
      </c>
      <c r="AE525" s="266">
        <v>57470.11</v>
      </c>
      <c r="AF525" s="266">
        <v>57590.35</v>
      </c>
      <c r="AG525" s="266">
        <v>57628.5</v>
      </c>
      <c r="AH525" s="266">
        <v>57822.91</v>
      </c>
      <c r="AI525" s="266">
        <v>57822.97</v>
      </c>
      <c r="AJ525" s="266">
        <v>57845.130000000005</v>
      </c>
      <c r="AK525" s="266">
        <v>57989.39</v>
      </c>
      <c r="AL525" s="266">
        <v>58013.98</v>
      </c>
      <c r="AM525" s="266">
        <v>57956.41</v>
      </c>
      <c r="AN525" s="266">
        <v>250609.58000000002</v>
      </c>
      <c r="AO525" s="274"/>
      <c r="AP525" s="266">
        <v>63489.700000000004</v>
      </c>
      <c r="AQ525" s="266">
        <v>63619.840000000004</v>
      </c>
      <c r="AR525" s="266">
        <v>63942.48</v>
      </c>
      <c r="AS525" s="266">
        <v>0</v>
      </c>
      <c r="AT525" s="266">
        <v>0</v>
      </c>
      <c r="AU525" s="266">
        <v>0</v>
      </c>
      <c r="AV525" s="266">
        <v>0</v>
      </c>
      <c r="AW525" s="266">
        <v>0</v>
      </c>
      <c r="AX525" s="266">
        <v>0</v>
      </c>
      <c r="AY525" s="266">
        <v>0</v>
      </c>
      <c r="AZ525" s="266">
        <v>0</v>
      </c>
      <c r="BA525" s="266">
        <v>0</v>
      </c>
    </row>
    <row r="526" spans="1:53" s="244" customFormat="1" ht="0.75" customHeight="1" outlineLevel="2" x14ac:dyDescent="0.25">
      <c r="A526" s="211"/>
      <c r="B526" s="212"/>
      <c r="C526" s="238"/>
      <c r="D526" s="246"/>
      <c r="E526" s="246"/>
      <c r="F526" s="241"/>
      <c r="G526" s="241"/>
      <c r="H526" s="236"/>
      <c r="I526" s="237"/>
      <c r="J526" s="242"/>
      <c r="K526" s="241"/>
      <c r="L526" s="241"/>
      <c r="M526" s="236"/>
      <c r="N526" s="237"/>
      <c r="O526" s="148"/>
      <c r="P526" s="243"/>
      <c r="Q526" s="241"/>
      <c r="R526" s="241"/>
      <c r="S526" s="236"/>
      <c r="T526" s="237"/>
      <c r="U526" s="243"/>
      <c r="V526" s="241"/>
      <c r="W526" s="241"/>
      <c r="X526" s="236"/>
      <c r="Y526" s="232"/>
      <c r="AA526" s="241"/>
      <c r="AB526" s="245"/>
      <c r="AC526" s="241"/>
      <c r="AD526" s="241"/>
      <c r="AE526" s="241"/>
      <c r="AF526" s="241"/>
      <c r="AG526" s="241"/>
      <c r="AH526" s="241"/>
      <c r="AI526" s="241"/>
      <c r="AJ526" s="241"/>
      <c r="AK526" s="241"/>
      <c r="AL526" s="241"/>
      <c r="AM526" s="241"/>
      <c r="AN526" s="241"/>
      <c r="AO526" s="245"/>
      <c r="AP526" s="241"/>
      <c r="AQ526" s="241"/>
      <c r="AR526" s="241"/>
      <c r="AS526" s="241"/>
      <c r="AT526" s="241"/>
      <c r="AU526" s="241"/>
      <c r="AV526" s="241"/>
      <c r="AW526" s="241"/>
      <c r="AX526" s="241"/>
      <c r="AY526" s="241"/>
      <c r="AZ526" s="241"/>
      <c r="BA526" s="241"/>
    </row>
    <row r="527" spans="1:53" s="244" customFormat="1" x14ac:dyDescent="0.25">
      <c r="A527" s="211"/>
      <c r="B527" s="212" t="s">
        <v>1475</v>
      </c>
      <c r="C527" s="275" t="s">
        <v>1476</v>
      </c>
      <c r="D527" s="276"/>
      <c r="E527" s="276"/>
      <c r="F527" s="277">
        <f>SUM(+F351,F412,F415,F418,F421,F424,F426,F428,F432,-F434,F481,F489,F497,F501,-F505,F508,-F511,F513,-F520,F522,F525)</f>
        <v>44292887.488499992</v>
      </c>
      <c r="G527" s="277">
        <f>SUM(+G351,G412,G415,G418,G421,G424,G426,G428,G432,-G434,G481,G489,G497,G501,-G505,G508,-G511,G513,-G520,G522,G525)</f>
        <v>45280120.372499995</v>
      </c>
      <c r="H527" s="278">
        <f>+F527-G527</f>
        <v>-987232.88400000334</v>
      </c>
      <c r="I527" s="279">
        <f>IF(G527&lt;0,IF(H527=0,0,IF(OR(G527=0,F527=0),"N.M.",IF(ABS(H527/G527)&gt;=10,"N.M.",H527/(-G527)))),IF(H527=0,0,IF(OR(G527=0,F527=0),"N.M.",IF(ABS(H527/G527)&gt;=10,"N.M.",H527/G527))))</f>
        <v>-2.1802788417487957E-2</v>
      </c>
      <c r="J527" s="242"/>
      <c r="K527" s="277">
        <f>SUM(+K351,K412,K415,K418,K421,K424,K426,K428,K432,-K434,K481,K489,K497,K501,-K505,K508,-K511,K513,-K520,K522,K525)</f>
        <v>92178966.939000025</v>
      </c>
      <c r="L527" s="277">
        <f>SUM(+L351,L412,L415,L418,L421,L424,L426,L428,L432,-L434,L481,L489,L497,L501,-L505,L508,-L511,L513,-L520,L522,L525)</f>
        <v>95753718.808500007</v>
      </c>
      <c r="M527" s="278">
        <f>+K527-L527</f>
        <v>-3574751.8694999814</v>
      </c>
      <c r="N527" s="279">
        <f>IF(L527&lt;0,IF(M527=0,0,IF(OR(L527=0,K527=0),"N.M.",IF(ABS(M527/L527)&gt;=10,"N.M.",M527/(-L527)))),IF(M527=0,0,IF(OR(L527=0,K527=0),"N.M.",IF(ABS(M527/L527)&gt;=10,"N.M.",M527/L527))))</f>
        <v>-3.7332773222617154E-2</v>
      </c>
      <c r="O527" s="181"/>
      <c r="P527" s="263"/>
      <c r="Q527" s="277">
        <f>SUM(+Q351,Q412,Q415,Q418,Q421,Q424,Q426,Q428,Q432,-Q434,Q481,Q489,Q497,Q501,-Q505,Q508,-Q511,Q513,-Q520,Q522,Q525)</f>
        <v>147567544.52249998</v>
      </c>
      <c r="R527" s="277">
        <f>SUM(+R351,R412,R415,R418,R421,R424,R426,R428,R432,-R434,R481,R489,R497,R501,-R505,R508,-R511,R513,-R520,R522,R525)</f>
        <v>141340625.83450007</v>
      </c>
      <c r="S527" s="278">
        <f>+Q527-R527</f>
        <v>6226918.6879999042</v>
      </c>
      <c r="T527" s="279">
        <f>IF(R527&lt;0,IF(S527=0,0,IF(OR(R527=0,Q527=0),"N.M.",IF(ABS(S527/R527)&gt;=10,"N.M.",S527/(-R527)))),IF(S527=0,0,IF(OR(R527=0,Q527=0),"N.M.",IF(ABS(S527/R527)&gt;=10,"N.M.",S527/R527))))</f>
        <v>4.4056113741078151E-2</v>
      </c>
      <c r="U527" s="263"/>
      <c r="V527" s="277">
        <f>SUM(+V351,V412,V415,V418,V421,V424,V426,V428,V432,-V434,V481,V489,V497,V501,-V505,V508,-V511,V513,-V520,V522,V525)</f>
        <v>558710645.04999995</v>
      </c>
      <c r="W527" s="277">
        <f>SUM(+W351,W412,W415,W418,W421,W424,W426,W428,W432,-W434,W481,W489,W497,W501,-W505,W508,-W511,W513,-W520,W522,W525)</f>
        <v>553501695.66550016</v>
      </c>
      <c r="X527" s="278">
        <f>+V527-W527</f>
        <v>5208949.3844997883</v>
      </c>
      <c r="Y527" s="280">
        <f>IF(W527&lt;0,IF(X527=0,0,IF(OR(W527=0,V527=0),"N.M.",IF(ABS(X527/W527)&gt;=10,"N.M.",X527/(-W527)))),IF(X527=0,0,IF(OR(W527=0,V527=0),"N.M.",IF(ABS(X527/W527)&gt;=10,"N.M.",X527/W527))))</f>
        <v>9.4109005000189427E-3</v>
      </c>
      <c r="AA527" s="277">
        <f>SUM(+AA351,AA412,AA415,AA418,AA421,AA424,AA426,AA428,AA432,-AA434,AA481,AA489,AA497,AA501,-AA505,AA508,-AA511,AA513,-AA520,AA522,AA525)</f>
        <v>45586907.025999993</v>
      </c>
      <c r="AB527" s="245"/>
      <c r="AC527" s="277">
        <f t="shared" ref="AC527:AN527" si="156">SUM(+AC351,AC412,AC415,AC418,AC421,AC424,AC426,AC428,AC432,-AC434,AC481,AC489,AC497,AC501,-AC505,AC508,-AC511,AC513,-AC520,AC522,AC525)</f>
        <v>50473598.43599999</v>
      </c>
      <c r="AD527" s="277">
        <f t="shared" si="156"/>
        <v>45280120.372499995</v>
      </c>
      <c r="AE527" s="277">
        <f t="shared" si="156"/>
        <v>40930022.506499998</v>
      </c>
      <c r="AF527" s="277">
        <f t="shared" si="156"/>
        <v>40111725.905999988</v>
      </c>
      <c r="AG527" s="277">
        <f t="shared" si="156"/>
        <v>39951591.380000003</v>
      </c>
      <c r="AH527" s="277">
        <f t="shared" si="156"/>
        <v>47469350.29299999</v>
      </c>
      <c r="AI527" s="277">
        <f t="shared" si="156"/>
        <v>51513487.619000003</v>
      </c>
      <c r="AJ527" s="277">
        <f t="shared" si="156"/>
        <v>53058514.311000004</v>
      </c>
      <c r="AK527" s="277">
        <f t="shared" si="156"/>
        <v>42997336.1655</v>
      </c>
      <c r="AL527" s="277">
        <f t="shared" si="156"/>
        <v>43949253.578500003</v>
      </c>
      <c r="AM527" s="277">
        <f t="shared" si="156"/>
        <v>51161818.768000007</v>
      </c>
      <c r="AN527" s="277">
        <f t="shared" si="156"/>
        <v>55388577.583499983</v>
      </c>
      <c r="AO527" s="245"/>
      <c r="AP527" s="277">
        <f t="shared" ref="AP527:BA527" si="157">SUM(+AP351,AP412,AP415,AP418,AP421,AP424,AP426,AP428,AP432,-AP434,AP481,AP489,AP497,AP501,-AP505,AP508,-AP511,AP513,-AP520,AP522,AP525)</f>
        <v>47886079.450499997</v>
      </c>
      <c r="AQ527" s="277">
        <f t="shared" si="157"/>
        <v>44292887.488499992</v>
      </c>
      <c r="AR527" s="277">
        <f t="shared" si="157"/>
        <v>64964030.704999991</v>
      </c>
      <c r="AS527" s="277">
        <f t="shared" si="157"/>
        <v>1343539.29</v>
      </c>
      <c r="AT527" s="277">
        <f t="shared" si="157"/>
        <v>0</v>
      </c>
      <c r="AU527" s="277">
        <f t="shared" si="157"/>
        <v>0</v>
      </c>
      <c r="AV527" s="277">
        <f t="shared" si="157"/>
        <v>0</v>
      </c>
      <c r="AW527" s="277">
        <f t="shared" si="157"/>
        <v>0</v>
      </c>
      <c r="AX527" s="277">
        <f t="shared" si="157"/>
        <v>0</v>
      </c>
      <c r="AY527" s="277">
        <f t="shared" si="157"/>
        <v>0</v>
      </c>
      <c r="AZ527" s="277">
        <f t="shared" si="157"/>
        <v>0</v>
      </c>
      <c r="BA527" s="277">
        <f t="shared" si="157"/>
        <v>0</v>
      </c>
    </row>
    <row r="528" spans="1:53" s="244" customFormat="1" x14ac:dyDescent="0.25">
      <c r="A528" s="211"/>
      <c r="B528" s="212" t="s">
        <v>1477</v>
      </c>
      <c r="C528" s="281" t="s">
        <v>1478</v>
      </c>
      <c r="D528" s="276"/>
      <c r="E528" s="276"/>
      <c r="F528" s="277">
        <f>+F108-F527</f>
        <v>4758252.7915000096</v>
      </c>
      <c r="G528" s="277">
        <f>+G108-G527</f>
        <v>9470354.2215000018</v>
      </c>
      <c r="H528" s="278">
        <f>+F528-G528</f>
        <v>-4712101.4299999923</v>
      </c>
      <c r="I528" s="279">
        <f>IF(G528&lt;0,IF(H528=0,0,IF(OR(G528=0,F528=0),"N.M.",IF(ABS(H528/G528)&gt;=10,"N.M.",H528/(-G528)))),IF(H528=0,0,IF(OR(G528=0,F528=0),"N.M.",IF(ABS(H528/G528)&gt;=10,"N.M.",H528/G528))))</f>
        <v>-0.49756337722852845</v>
      </c>
      <c r="J528" s="242"/>
      <c r="K528" s="277">
        <f>+K108-K527</f>
        <v>13990331.256999984</v>
      </c>
      <c r="L528" s="277">
        <f>+L108-L527</f>
        <v>25478605.755500004</v>
      </c>
      <c r="M528" s="278">
        <f>+K528-L528</f>
        <v>-11488274.498500019</v>
      </c>
      <c r="N528" s="279">
        <f>IF(L528&lt;0,IF(M528=0,0,IF(OR(L528=0,K528=0),"N.M.",IF(ABS(M528/L528)&gt;=10,"N.M.",M528/(-L528)))),IF(M528=0,0,IF(OR(L528=0,K528=0),"N.M.",IF(ABS(M528/L528)&gt;=10,"N.M.",M528/L528))))</f>
        <v>-0.45089886820121911</v>
      </c>
      <c r="O528" s="181"/>
      <c r="P528" s="263"/>
      <c r="Q528" s="277">
        <f>+Q108-Q527</f>
        <v>22452816.703500003</v>
      </c>
      <c r="R528" s="277">
        <f>+R108-R527</f>
        <v>30389398.679499924</v>
      </c>
      <c r="S528" s="278">
        <f>+Q528-R528</f>
        <v>-7936581.9759999216</v>
      </c>
      <c r="T528" s="279">
        <f>IF(R528&lt;0,IF(S528=0,0,IF(OR(R528=0,Q528=0),"N.M.",IF(ABS(S528/R528)&gt;=10,"N.M.",S528/(-R528)))),IF(S528=0,0,IF(OR(R528=0,Q528=0),"N.M.",IF(ABS(S528/R528)&gt;=10,"N.M.",S528/R528))))</f>
        <v>-0.26116285023282743</v>
      </c>
      <c r="U528" s="263"/>
      <c r="V528" s="277">
        <f>+V108-V527</f>
        <v>88231323.946000099</v>
      </c>
      <c r="W528" s="277">
        <f>+W108-W527</f>
        <v>88716689.054499745</v>
      </c>
      <c r="X528" s="278">
        <f>+V528-W528</f>
        <v>-485365.10849964619</v>
      </c>
      <c r="Y528" s="280">
        <f>IF(W528&lt;0,IF(X528=0,0,IF(OR(W528=0,V528=0),"N.M.",IF(ABS(X528/W528)&gt;=10,"N.M.",X528/(-W528)))),IF(X528=0,0,IF(OR(W528=0,V528=0),"N.M.",IF(ABS(X528/W528)&gt;=10,"N.M.",X528/W528))))</f>
        <v>-5.4709560700747124E-3</v>
      </c>
      <c r="AA528" s="277">
        <f>+AA108-AA527</f>
        <v>4910792.9240000024</v>
      </c>
      <c r="AB528" s="245"/>
      <c r="AC528" s="277">
        <f t="shared" ref="AC528:AN528" si="158">+AC108-AC527</f>
        <v>16008251.534000017</v>
      </c>
      <c r="AD528" s="277">
        <f t="shared" si="158"/>
        <v>9470354.2215000018</v>
      </c>
      <c r="AE528" s="277">
        <f t="shared" si="158"/>
        <v>5867376.4034999982</v>
      </c>
      <c r="AF528" s="277">
        <f t="shared" si="158"/>
        <v>6638521.8240000159</v>
      </c>
      <c r="AG528" s="277">
        <f t="shared" si="158"/>
        <v>6840813.3200000003</v>
      </c>
      <c r="AH528" s="277">
        <f t="shared" si="158"/>
        <v>6594893.0270000175</v>
      </c>
      <c r="AI528" s="277">
        <f t="shared" si="158"/>
        <v>9706253.5909999907</v>
      </c>
      <c r="AJ528" s="277">
        <f t="shared" si="158"/>
        <v>12466070.218999997</v>
      </c>
      <c r="AK528" s="277">
        <f t="shared" si="158"/>
        <v>2191022.5944999978</v>
      </c>
      <c r="AL528" s="277">
        <f t="shared" si="158"/>
        <v>4387141.8214999959</v>
      </c>
      <c r="AM528" s="277">
        <f t="shared" si="158"/>
        <v>11086414.441999987</v>
      </c>
      <c r="AN528" s="277">
        <f t="shared" si="158"/>
        <v>8462485.4465000108</v>
      </c>
      <c r="AO528" s="245"/>
      <c r="AP528" s="277">
        <f t="shared" ref="AP528:BA528" si="159">+AP108-AP527</f>
        <v>9232078.465500012</v>
      </c>
      <c r="AQ528" s="277">
        <f t="shared" si="159"/>
        <v>4758252.7915000096</v>
      </c>
      <c r="AR528" s="277">
        <f t="shared" si="159"/>
        <v>7165292.5249999985</v>
      </c>
      <c r="AS528" s="277">
        <f t="shared" si="159"/>
        <v>-1343539.29</v>
      </c>
      <c r="AT528" s="277">
        <f t="shared" si="159"/>
        <v>0</v>
      </c>
      <c r="AU528" s="277">
        <f t="shared" si="159"/>
        <v>0</v>
      </c>
      <c r="AV528" s="277">
        <f t="shared" si="159"/>
        <v>0</v>
      </c>
      <c r="AW528" s="277">
        <f t="shared" si="159"/>
        <v>0</v>
      </c>
      <c r="AX528" s="277">
        <f t="shared" si="159"/>
        <v>0</v>
      </c>
      <c r="AY528" s="277">
        <f t="shared" si="159"/>
        <v>0</v>
      </c>
      <c r="AZ528" s="277">
        <f t="shared" si="159"/>
        <v>0</v>
      </c>
      <c r="BA528" s="277">
        <f t="shared" si="159"/>
        <v>0</v>
      </c>
    </row>
    <row r="529" spans="1:53" s="244" customFormat="1" x14ac:dyDescent="0.25">
      <c r="A529" s="211"/>
      <c r="B529" s="212" t="s">
        <v>1479</v>
      </c>
      <c r="C529" s="281" t="s">
        <v>1480</v>
      </c>
      <c r="D529" s="276"/>
      <c r="E529" s="276"/>
      <c r="F529" s="277">
        <f>+F528</f>
        <v>4758252.7915000096</v>
      </c>
      <c r="G529" s="277">
        <f>+G528</f>
        <v>9470354.2215000018</v>
      </c>
      <c r="H529" s="278">
        <f>+F529-G529</f>
        <v>-4712101.4299999923</v>
      </c>
      <c r="I529" s="279">
        <f>IF(G529&lt;0,IF(H529=0,0,IF(OR(G529=0,F529=0),"N.M.",IF(ABS(H529/G529)&gt;=10,"N.M.",H529/(-G529)))),IF(H529=0,0,IF(OR(G529=0,F529=0),"N.M.",IF(ABS(H529/G529)&gt;=10,"N.M.",H529/G529))))</f>
        <v>-0.49756337722852845</v>
      </c>
      <c r="J529" s="242"/>
      <c r="K529" s="277">
        <f>+K528</f>
        <v>13990331.256999984</v>
      </c>
      <c r="L529" s="277">
        <f>+L528</f>
        <v>25478605.755500004</v>
      </c>
      <c r="M529" s="278">
        <f>+K529-L529</f>
        <v>-11488274.498500019</v>
      </c>
      <c r="N529" s="279">
        <f>IF(L529&lt;0,IF(M529=0,0,IF(OR(L529=0,K529=0),"N.M.",IF(ABS(M529/L529)&gt;=10,"N.M.",M529/(-L529)))),IF(M529=0,0,IF(OR(L529=0,K529=0),"N.M.",IF(ABS(M529/L529)&gt;=10,"N.M.",M529/L529))))</f>
        <v>-0.45089886820121911</v>
      </c>
      <c r="O529" s="181"/>
      <c r="P529" s="263"/>
      <c r="Q529" s="277">
        <f>+Q528</f>
        <v>22452816.703500003</v>
      </c>
      <c r="R529" s="277">
        <f>+R528</f>
        <v>30389398.679499924</v>
      </c>
      <c r="S529" s="278">
        <f>+Q529-R529</f>
        <v>-7936581.9759999216</v>
      </c>
      <c r="T529" s="279">
        <f>IF(R529&lt;0,IF(S529=0,0,IF(OR(R529=0,Q529=0),"N.M.",IF(ABS(S529/R529)&gt;=10,"N.M.",S529/(-R529)))),IF(S529=0,0,IF(OR(R529=0,Q529=0),"N.M.",IF(ABS(S529/R529)&gt;=10,"N.M.",S529/R529))))</f>
        <v>-0.26116285023282743</v>
      </c>
      <c r="U529" s="263"/>
      <c r="V529" s="277">
        <f>+V528</f>
        <v>88231323.946000099</v>
      </c>
      <c r="W529" s="277">
        <f>+W528</f>
        <v>88716689.054499745</v>
      </c>
      <c r="X529" s="278">
        <f>+V529-W529</f>
        <v>-485365.10849964619</v>
      </c>
      <c r="Y529" s="280">
        <f>IF(W529&lt;0,IF(X529=0,0,IF(OR(W529=0,V529=0),"N.M.",IF(ABS(X529/W529)&gt;=10,"N.M.",X529/(-W529)))),IF(X529=0,0,IF(OR(W529=0,V529=0),"N.M.",IF(ABS(X529/W529)&gt;=10,"N.M.",X529/W529))))</f>
        <v>-5.4709560700747124E-3</v>
      </c>
      <c r="AA529" s="277">
        <f>+AA528</f>
        <v>4910792.9240000024</v>
      </c>
      <c r="AB529" s="245"/>
      <c r="AC529" s="277">
        <f t="shared" ref="AC529:AN529" si="160">+AC528</f>
        <v>16008251.534000017</v>
      </c>
      <c r="AD529" s="277">
        <f t="shared" si="160"/>
        <v>9470354.2215000018</v>
      </c>
      <c r="AE529" s="277">
        <f t="shared" si="160"/>
        <v>5867376.4034999982</v>
      </c>
      <c r="AF529" s="277">
        <f t="shared" si="160"/>
        <v>6638521.8240000159</v>
      </c>
      <c r="AG529" s="277">
        <f t="shared" si="160"/>
        <v>6840813.3200000003</v>
      </c>
      <c r="AH529" s="277">
        <f t="shared" si="160"/>
        <v>6594893.0270000175</v>
      </c>
      <c r="AI529" s="277">
        <f t="shared" si="160"/>
        <v>9706253.5909999907</v>
      </c>
      <c r="AJ529" s="277">
        <f t="shared" si="160"/>
        <v>12466070.218999997</v>
      </c>
      <c r="AK529" s="277">
        <f t="shared" si="160"/>
        <v>2191022.5944999978</v>
      </c>
      <c r="AL529" s="277">
        <f t="shared" si="160"/>
        <v>4387141.8214999959</v>
      </c>
      <c r="AM529" s="277">
        <f t="shared" si="160"/>
        <v>11086414.441999987</v>
      </c>
      <c r="AN529" s="277">
        <f t="shared" si="160"/>
        <v>8462485.4465000108</v>
      </c>
      <c r="AO529" s="245"/>
      <c r="AP529" s="277">
        <f t="shared" ref="AP529:BA529" si="161">+AP528</f>
        <v>9232078.465500012</v>
      </c>
      <c r="AQ529" s="277">
        <f t="shared" si="161"/>
        <v>4758252.7915000096</v>
      </c>
      <c r="AR529" s="277">
        <f t="shared" si="161"/>
        <v>7165292.5249999985</v>
      </c>
      <c r="AS529" s="277">
        <f t="shared" si="161"/>
        <v>-1343539.29</v>
      </c>
      <c r="AT529" s="277">
        <f t="shared" si="161"/>
        <v>0</v>
      </c>
      <c r="AU529" s="277">
        <f t="shared" si="161"/>
        <v>0</v>
      </c>
      <c r="AV529" s="277">
        <f t="shared" si="161"/>
        <v>0</v>
      </c>
      <c r="AW529" s="277">
        <f t="shared" si="161"/>
        <v>0</v>
      </c>
      <c r="AX529" s="277">
        <f t="shared" si="161"/>
        <v>0</v>
      </c>
      <c r="AY529" s="277">
        <f t="shared" si="161"/>
        <v>0</v>
      </c>
      <c r="AZ529" s="277">
        <f t="shared" si="161"/>
        <v>0</v>
      </c>
      <c r="BA529" s="277">
        <f t="shared" si="161"/>
        <v>0</v>
      </c>
    </row>
    <row r="530" spans="1:53" s="211" customFormat="1" x14ac:dyDescent="0.25">
      <c r="B530" s="212" t="s">
        <v>1481</v>
      </c>
      <c r="C530" s="222" t="s">
        <v>1482</v>
      </c>
      <c r="D530" s="223"/>
      <c r="E530" s="223"/>
      <c r="F530" s="224"/>
      <c r="G530" s="224"/>
      <c r="H530" s="224"/>
      <c r="I530" s="224"/>
      <c r="J530" s="225"/>
      <c r="K530" s="226"/>
      <c r="L530" s="226"/>
      <c r="M530" s="226"/>
      <c r="N530" s="227"/>
      <c r="O530" s="224"/>
      <c r="P530" s="225"/>
      <c r="Q530" s="224"/>
      <c r="R530" s="224"/>
      <c r="S530" s="224"/>
      <c r="T530" s="224"/>
      <c r="U530" s="225"/>
      <c r="V530" s="224"/>
      <c r="W530" s="224"/>
      <c r="X530" s="224"/>
      <c r="Y530" s="224"/>
      <c r="Z530" s="224"/>
      <c r="AA530" s="226"/>
      <c r="AB530" s="228"/>
      <c r="AC530" s="226"/>
      <c r="AD530" s="226"/>
      <c r="AE530" s="226"/>
      <c r="AF530" s="226"/>
      <c r="AG530" s="226"/>
      <c r="AH530" s="226"/>
      <c r="AI530" s="226"/>
      <c r="AJ530" s="226"/>
      <c r="AK530" s="226"/>
      <c r="AL530" s="226"/>
      <c r="AM530" s="226"/>
      <c r="AN530" s="226"/>
      <c r="AO530" s="228"/>
      <c r="AP530" s="226"/>
      <c r="AQ530" s="226"/>
      <c r="AR530" s="226"/>
      <c r="AS530" s="226"/>
      <c r="AT530" s="226"/>
      <c r="AU530" s="226"/>
      <c r="AV530" s="226"/>
      <c r="AW530" s="226"/>
      <c r="AX530" s="226"/>
      <c r="AY530" s="226"/>
      <c r="AZ530" s="226"/>
      <c r="BA530" s="226"/>
    </row>
    <row r="531" spans="1:53" s="211" customFormat="1" x14ac:dyDescent="0.25">
      <c r="B531" s="212" t="s">
        <v>1483</v>
      </c>
      <c r="C531" s="222" t="s">
        <v>1484</v>
      </c>
      <c r="D531" s="223"/>
      <c r="E531" s="223"/>
      <c r="F531" s="224"/>
      <c r="G531" s="224"/>
      <c r="H531" s="224"/>
      <c r="I531" s="224"/>
      <c r="J531" s="225"/>
      <c r="K531" s="226"/>
      <c r="L531" s="226"/>
      <c r="M531" s="226"/>
      <c r="N531" s="227"/>
      <c r="O531" s="224"/>
      <c r="P531" s="225"/>
      <c r="Q531" s="224"/>
      <c r="R531" s="224"/>
      <c r="S531" s="224"/>
      <c r="T531" s="224"/>
      <c r="U531" s="225"/>
      <c r="V531" s="224"/>
      <c r="W531" s="224"/>
      <c r="X531" s="224"/>
      <c r="Y531" s="224"/>
      <c r="Z531" s="224"/>
      <c r="AA531" s="226"/>
      <c r="AB531" s="228"/>
      <c r="AC531" s="226"/>
      <c r="AD531" s="226"/>
      <c r="AE531" s="226"/>
      <c r="AF531" s="226"/>
      <c r="AG531" s="226"/>
      <c r="AH531" s="226"/>
      <c r="AI531" s="226"/>
      <c r="AJ531" s="226"/>
      <c r="AK531" s="226"/>
      <c r="AL531" s="226"/>
      <c r="AM531" s="226"/>
      <c r="AN531" s="226"/>
      <c r="AO531" s="228"/>
      <c r="AP531" s="226"/>
      <c r="AQ531" s="226"/>
      <c r="AR531" s="226"/>
      <c r="AS531" s="226"/>
      <c r="AT531" s="226"/>
      <c r="AU531" s="226"/>
      <c r="AV531" s="226"/>
      <c r="AW531" s="226"/>
      <c r="AX531" s="226"/>
      <c r="AY531" s="226"/>
      <c r="AZ531" s="226"/>
      <c r="BA531" s="226"/>
    </row>
    <row r="532" spans="1:53" s="211" customFormat="1" x14ac:dyDescent="0.25">
      <c r="B532" s="212" t="s">
        <v>1485</v>
      </c>
      <c r="C532" s="222" t="s">
        <v>1486</v>
      </c>
      <c r="D532" s="223"/>
      <c r="E532" s="223"/>
      <c r="F532" s="224"/>
      <c r="G532" s="224"/>
      <c r="H532" s="224"/>
      <c r="I532" s="224"/>
      <c r="J532" s="225"/>
      <c r="K532" s="226"/>
      <c r="L532" s="226"/>
      <c r="M532" s="226"/>
      <c r="N532" s="227"/>
      <c r="O532" s="224"/>
      <c r="P532" s="225"/>
      <c r="Q532" s="224"/>
      <c r="R532" s="224"/>
      <c r="S532" s="224"/>
      <c r="T532" s="224"/>
      <c r="U532" s="225"/>
      <c r="V532" s="224"/>
      <c r="W532" s="224"/>
      <c r="X532" s="224"/>
      <c r="Y532" s="224"/>
      <c r="Z532" s="224"/>
      <c r="AA532" s="226"/>
      <c r="AB532" s="228"/>
      <c r="AC532" s="226"/>
      <c r="AD532" s="226"/>
      <c r="AE532" s="226"/>
      <c r="AF532" s="226"/>
      <c r="AG532" s="226"/>
      <c r="AH532" s="226"/>
      <c r="AI532" s="226"/>
      <c r="AJ532" s="226"/>
      <c r="AK532" s="226"/>
      <c r="AL532" s="226"/>
      <c r="AM532" s="226"/>
      <c r="AN532" s="226"/>
      <c r="AO532" s="228"/>
      <c r="AP532" s="226"/>
      <c r="AQ532" s="226"/>
      <c r="AR532" s="226"/>
      <c r="AS532" s="226"/>
      <c r="AT532" s="226"/>
      <c r="AU532" s="226"/>
      <c r="AV532" s="226"/>
      <c r="AW532" s="226"/>
      <c r="AX532" s="226"/>
      <c r="AY532" s="226"/>
      <c r="AZ532" s="226"/>
      <c r="BA532" s="226"/>
    </row>
    <row r="533" spans="1:53" s="244" customFormat="1" ht="4.5" customHeight="1" outlineLevel="2" x14ac:dyDescent="0.25">
      <c r="A533" s="211"/>
      <c r="B533" s="212"/>
      <c r="C533" s="238"/>
      <c r="D533" s="246"/>
      <c r="E533" s="246"/>
      <c r="F533" s="215"/>
      <c r="G533" s="215"/>
      <c r="H533" s="236"/>
      <c r="I533" s="237"/>
      <c r="J533" s="242"/>
      <c r="K533" s="215"/>
      <c r="L533" s="215"/>
      <c r="M533" s="236"/>
      <c r="N533" s="237"/>
      <c r="O533" s="282"/>
      <c r="P533" s="283"/>
      <c r="Q533" s="215"/>
      <c r="R533" s="215"/>
      <c r="S533" s="236"/>
      <c r="T533" s="237"/>
      <c r="U533" s="283"/>
      <c r="V533" s="215"/>
      <c r="W533" s="215"/>
      <c r="X533" s="236"/>
      <c r="Y533" s="232"/>
      <c r="AA533" s="215"/>
      <c r="AB533" s="245"/>
      <c r="AC533" s="215"/>
      <c r="AD533" s="215"/>
      <c r="AE533" s="215"/>
      <c r="AF533" s="215"/>
      <c r="AG533" s="215"/>
      <c r="AH533" s="215"/>
      <c r="AI533" s="215"/>
      <c r="AJ533" s="215"/>
      <c r="AK533" s="215"/>
      <c r="AL533" s="215"/>
      <c r="AM533" s="215"/>
      <c r="AN533" s="215"/>
      <c r="AO533" s="245"/>
      <c r="AP533" s="215"/>
      <c r="AQ533" s="215"/>
      <c r="AR533" s="215"/>
      <c r="AS533" s="215"/>
      <c r="AT533" s="215"/>
      <c r="AU533" s="215"/>
      <c r="AV533" s="215"/>
      <c r="AW533" s="215"/>
      <c r="AX533" s="215"/>
      <c r="AY533" s="215"/>
      <c r="AZ533" s="215"/>
      <c r="BA533" s="215"/>
    </row>
    <row r="534" spans="1:53" s="244" customFormat="1" x14ac:dyDescent="0.25">
      <c r="A534" s="211" t="s">
        <v>1487</v>
      </c>
      <c r="B534" s="212" t="s">
        <v>1488</v>
      </c>
      <c r="C534" s="238" t="s">
        <v>1489</v>
      </c>
      <c r="D534" s="246"/>
      <c r="E534" s="246"/>
      <c r="F534" s="215">
        <v>0</v>
      </c>
      <c r="G534" s="215">
        <v>0</v>
      </c>
      <c r="H534" s="236">
        <f>+F534-G534</f>
        <v>0</v>
      </c>
      <c r="I534" s="237">
        <f>IF(G534&lt;0,IF(H534=0,0,IF(OR(G534=0,F534=0),"N.M.",IF(ABS(H534/G534)&gt;=10,"N.M.",H534/(-G534)))),IF(H534=0,0,IF(OR(G534=0,F534=0),"N.M.",IF(ABS(H534/G534)&gt;=10,"N.M.",H534/G534))))</f>
        <v>0</v>
      </c>
      <c r="J534" s="242"/>
      <c r="K534" s="215">
        <v>0</v>
      </c>
      <c r="L534" s="215">
        <v>0</v>
      </c>
      <c r="M534" s="236">
        <f>+K534-L534</f>
        <v>0</v>
      </c>
      <c r="N534" s="237">
        <f>IF(L534&lt;0,IF(M534=0,0,IF(OR(L534=0,K534=0),"N.M.",IF(ABS(M534/L534)&gt;=10,"N.M.",M534/(-L534)))),IF(M534=0,0,IF(OR(L534=0,K534=0),"N.M.",IF(ABS(M534/L534)&gt;=10,"N.M.",M534/L534))))</f>
        <v>0</v>
      </c>
      <c r="O534" s="282"/>
      <c r="P534" s="283"/>
      <c r="Q534" s="215">
        <v>0</v>
      </c>
      <c r="R534" s="215">
        <v>0</v>
      </c>
      <c r="S534" s="236">
        <f>+Q534-R534</f>
        <v>0</v>
      </c>
      <c r="T534" s="237">
        <f>IF(R534&lt;0,IF(S534=0,0,IF(OR(R534=0,Q534=0),"N.M.",IF(ABS(S534/R534)&gt;=10,"N.M.",S534/(-R534)))),IF(S534=0,0,IF(OR(R534=0,Q534=0),"N.M.",IF(ABS(S534/R534)&gt;=10,"N.M.",S534/R534))))</f>
        <v>0</v>
      </c>
      <c r="U534" s="283"/>
      <c r="V534" s="215">
        <v>0</v>
      </c>
      <c r="W534" s="215">
        <v>0</v>
      </c>
      <c r="X534" s="236">
        <f>+V534-W534</f>
        <v>0</v>
      </c>
      <c r="Y534" s="232">
        <f>IF(W534&lt;0,IF(X534=0,0,IF(OR(W534=0,V534=0),"N.M.",IF(ABS(X534/W534)&gt;=10,"N.M.",X534/(-W534)))),IF(X534=0,0,IF(OR(W534=0,V534=0),"N.M.",IF(ABS(X534/W534)&gt;=10,"N.M.",X534/W534))))</f>
        <v>0</v>
      </c>
      <c r="AA534" s="215">
        <v>0</v>
      </c>
      <c r="AB534" s="245"/>
      <c r="AC534" s="215">
        <v>0</v>
      </c>
      <c r="AD534" s="215">
        <v>0</v>
      </c>
      <c r="AE534" s="215">
        <v>0</v>
      </c>
      <c r="AF534" s="215">
        <v>0</v>
      </c>
      <c r="AG534" s="215">
        <v>0</v>
      </c>
      <c r="AH534" s="215">
        <v>0</v>
      </c>
      <c r="AI534" s="215">
        <v>0</v>
      </c>
      <c r="AJ534" s="215">
        <v>0</v>
      </c>
      <c r="AK534" s="215">
        <v>0</v>
      </c>
      <c r="AL534" s="215">
        <v>0</v>
      </c>
      <c r="AM534" s="215">
        <v>0</v>
      </c>
      <c r="AN534" s="215">
        <v>0</v>
      </c>
      <c r="AO534" s="245"/>
      <c r="AP534" s="215">
        <v>0</v>
      </c>
      <c r="AQ534" s="215">
        <v>0</v>
      </c>
      <c r="AR534" s="215">
        <v>0</v>
      </c>
      <c r="AS534" s="215">
        <v>0</v>
      </c>
      <c r="AT534" s="215">
        <v>0</v>
      </c>
      <c r="AU534" s="215">
        <v>0</v>
      </c>
      <c r="AV534" s="215">
        <v>0</v>
      </c>
      <c r="AW534" s="215">
        <v>0</v>
      </c>
      <c r="AX534" s="215">
        <v>0</v>
      </c>
      <c r="AY534" s="215">
        <v>0</v>
      </c>
      <c r="AZ534" s="215">
        <v>0</v>
      </c>
      <c r="BA534" s="215">
        <v>0</v>
      </c>
    </row>
    <row r="535" spans="1:53" s="244" customFormat="1" ht="0.75" customHeight="1" outlineLevel="2" x14ac:dyDescent="0.25">
      <c r="A535" s="211"/>
      <c r="B535" s="212"/>
      <c r="C535" s="238"/>
      <c r="D535" s="246"/>
      <c r="E535" s="246"/>
      <c r="F535" s="215"/>
      <c r="G535" s="215"/>
      <c r="H535" s="236"/>
      <c r="I535" s="237"/>
      <c r="J535" s="242"/>
      <c r="K535" s="215"/>
      <c r="L535" s="215"/>
      <c r="M535" s="236"/>
      <c r="N535" s="237"/>
      <c r="O535" s="282"/>
      <c r="P535" s="283"/>
      <c r="Q535" s="215"/>
      <c r="R535" s="215"/>
      <c r="S535" s="236"/>
      <c r="T535" s="237"/>
      <c r="U535" s="283"/>
      <c r="V535" s="215"/>
      <c r="W535" s="215"/>
      <c r="X535" s="236"/>
      <c r="Y535" s="232"/>
      <c r="AA535" s="215"/>
      <c r="AB535" s="245"/>
      <c r="AC535" s="215"/>
      <c r="AD535" s="215"/>
      <c r="AE535" s="215"/>
      <c r="AF535" s="215"/>
      <c r="AG535" s="215"/>
      <c r="AH535" s="215"/>
      <c r="AI535" s="215"/>
      <c r="AJ535" s="215"/>
      <c r="AK535" s="215"/>
      <c r="AL535" s="215"/>
      <c r="AM535" s="215"/>
      <c r="AN535" s="215"/>
      <c r="AO535" s="245"/>
      <c r="AP535" s="215"/>
      <c r="AQ535" s="215"/>
      <c r="AR535" s="215"/>
      <c r="AS535" s="215"/>
      <c r="AT535" s="215"/>
      <c r="AU535" s="215"/>
      <c r="AV535" s="215"/>
      <c r="AW535" s="215"/>
      <c r="AX535" s="215"/>
      <c r="AY535" s="215"/>
      <c r="AZ535" s="215"/>
      <c r="BA535" s="215"/>
    </row>
    <row r="536" spans="1:53" s="244" customFormat="1" x14ac:dyDescent="0.25">
      <c r="A536" s="211" t="s">
        <v>1490</v>
      </c>
      <c r="B536" s="212" t="s">
        <v>1491</v>
      </c>
      <c r="C536" s="238" t="s">
        <v>1492</v>
      </c>
      <c r="D536" s="246"/>
      <c r="E536" s="246"/>
      <c r="F536" s="241">
        <v>0</v>
      </c>
      <c r="G536" s="241">
        <v>0</v>
      </c>
      <c r="H536" s="236">
        <f>+F536-G536</f>
        <v>0</v>
      </c>
      <c r="I536" s="237">
        <f>IF(G536&lt;0,IF(H536=0,0,IF(OR(G536=0,F536=0),"N.M.",IF(ABS(H536/G536)&gt;=10,"N.M.",H536/(-G536)))),IF(H536=0,0,IF(OR(G536=0,F536=0),"N.M.",IF(ABS(H536/G536)&gt;=10,"N.M.",H536/G536))))</f>
        <v>0</v>
      </c>
      <c r="J536" s="242"/>
      <c r="K536" s="241">
        <v>0</v>
      </c>
      <c r="L536" s="241">
        <v>0</v>
      </c>
      <c r="M536" s="236">
        <f>+K536-L536</f>
        <v>0</v>
      </c>
      <c r="N536" s="237">
        <f>IF(L536&lt;0,IF(M536=0,0,IF(OR(L536=0,K536=0),"N.M.",IF(ABS(M536/L536)&gt;=10,"N.M.",M536/(-L536)))),IF(M536=0,0,IF(OR(L536=0,K536=0),"N.M.",IF(ABS(M536/L536)&gt;=10,"N.M.",M536/L536))))</f>
        <v>0</v>
      </c>
      <c r="O536" s="284"/>
      <c r="P536" s="285"/>
      <c r="Q536" s="241">
        <v>0</v>
      </c>
      <c r="R536" s="241">
        <v>0</v>
      </c>
      <c r="S536" s="236">
        <f>+Q536-R536</f>
        <v>0</v>
      </c>
      <c r="T536" s="237">
        <f>IF(R536&lt;0,IF(S536=0,0,IF(OR(R536=0,Q536=0),"N.M.",IF(ABS(S536/R536)&gt;=10,"N.M.",S536/(-R536)))),IF(S536=0,0,IF(OR(R536=0,Q536=0),"N.M.",IF(ABS(S536/R536)&gt;=10,"N.M.",S536/R536))))</f>
        <v>0</v>
      </c>
      <c r="U536" s="285"/>
      <c r="V536" s="241">
        <v>0</v>
      </c>
      <c r="W536" s="241">
        <v>0</v>
      </c>
      <c r="X536" s="236">
        <f>+V536-W536</f>
        <v>0</v>
      </c>
      <c r="Y536" s="232">
        <f>IF(W536&lt;0,IF(X536=0,0,IF(OR(W536=0,V536=0),"N.M.",IF(ABS(X536/W536)&gt;=10,"N.M.",X536/(-W536)))),IF(X536=0,0,IF(OR(W536=0,V536=0),"N.M.",IF(ABS(X536/W536)&gt;=10,"N.M.",X536/W536))))</f>
        <v>0</v>
      </c>
      <c r="AA536" s="241">
        <v>0</v>
      </c>
      <c r="AB536" s="245"/>
      <c r="AC536" s="241">
        <v>0</v>
      </c>
      <c r="AD536" s="241">
        <v>0</v>
      </c>
      <c r="AE536" s="241">
        <v>0</v>
      </c>
      <c r="AF536" s="241">
        <v>0</v>
      </c>
      <c r="AG536" s="241">
        <v>0</v>
      </c>
      <c r="AH536" s="241">
        <v>0</v>
      </c>
      <c r="AI536" s="241">
        <v>0</v>
      </c>
      <c r="AJ536" s="241">
        <v>0</v>
      </c>
      <c r="AK536" s="241">
        <v>0</v>
      </c>
      <c r="AL536" s="241">
        <v>0</v>
      </c>
      <c r="AM536" s="241">
        <v>0</v>
      </c>
      <c r="AN536" s="241">
        <v>0</v>
      </c>
      <c r="AO536" s="245"/>
      <c r="AP536" s="241">
        <v>0</v>
      </c>
      <c r="AQ536" s="241">
        <v>0</v>
      </c>
      <c r="AR536" s="241">
        <v>0</v>
      </c>
      <c r="AS536" s="241">
        <v>0</v>
      </c>
      <c r="AT536" s="241">
        <v>0</v>
      </c>
      <c r="AU536" s="241">
        <v>0</v>
      </c>
      <c r="AV536" s="241">
        <v>0</v>
      </c>
      <c r="AW536" s="241">
        <v>0</v>
      </c>
      <c r="AX536" s="241">
        <v>0</v>
      </c>
      <c r="AY536" s="241">
        <v>0</v>
      </c>
      <c r="AZ536" s="241">
        <v>0</v>
      </c>
      <c r="BA536" s="241">
        <v>0</v>
      </c>
    </row>
    <row r="537" spans="1:53" s="244" customFormat="1" ht="0.75" customHeight="1" outlineLevel="2" x14ac:dyDescent="0.25">
      <c r="A537" s="211"/>
      <c r="B537" s="212"/>
      <c r="C537" s="238"/>
      <c r="D537" s="246"/>
      <c r="E537" s="246"/>
      <c r="F537" s="241"/>
      <c r="G537" s="241"/>
      <c r="H537" s="236"/>
      <c r="I537" s="237"/>
      <c r="J537" s="242"/>
      <c r="K537" s="241"/>
      <c r="L537" s="241"/>
      <c r="M537" s="236"/>
      <c r="N537" s="237"/>
      <c r="O537" s="284"/>
      <c r="P537" s="285"/>
      <c r="Q537" s="241"/>
      <c r="R537" s="241"/>
      <c r="S537" s="236"/>
      <c r="T537" s="237"/>
      <c r="U537" s="285"/>
      <c r="V537" s="241"/>
      <c r="W537" s="241"/>
      <c r="X537" s="236"/>
      <c r="Y537" s="232"/>
      <c r="AA537" s="241"/>
      <c r="AB537" s="245"/>
      <c r="AC537" s="241"/>
      <c r="AD537" s="241"/>
      <c r="AE537" s="241"/>
      <c r="AF537" s="241"/>
      <c r="AG537" s="241"/>
      <c r="AH537" s="241"/>
      <c r="AI537" s="241"/>
      <c r="AJ537" s="241"/>
      <c r="AK537" s="241"/>
      <c r="AL537" s="241"/>
      <c r="AM537" s="241"/>
      <c r="AN537" s="241"/>
      <c r="AO537" s="245"/>
      <c r="AP537" s="241"/>
      <c r="AQ537" s="241"/>
      <c r="AR537" s="241"/>
      <c r="AS537" s="241"/>
      <c r="AT537" s="241"/>
      <c r="AU537" s="241"/>
      <c r="AV537" s="241"/>
      <c r="AW537" s="241"/>
      <c r="AX537" s="241"/>
      <c r="AY537" s="241"/>
      <c r="AZ537" s="241"/>
      <c r="BA537" s="241"/>
    </row>
    <row r="538" spans="1:53" s="138" customFormat="1" outlineLevel="2" x14ac:dyDescent="0.25">
      <c r="A538" s="138" t="s">
        <v>1493</v>
      </c>
      <c r="B538" s="139" t="s">
        <v>1494</v>
      </c>
      <c r="C538" s="140" t="s">
        <v>1495</v>
      </c>
      <c r="D538" s="141"/>
      <c r="E538" s="142"/>
      <c r="F538" s="143">
        <v>15423.25</v>
      </c>
      <c r="G538" s="143">
        <v>0</v>
      </c>
      <c r="H538" s="144">
        <f>+F538-G538</f>
        <v>15423.25</v>
      </c>
      <c r="I538" s="145" t="str">
        <f>IF(G538&lt;0,IF(H538=0,0,IF(OR(G538=0,F538=0),"N.M.",IF(ABS(H538/G538)&gt;=10,"N.M.",H538/(-G538)))),IF(H538=0,0,IF(OR(G538=0,F538=0),"N.M.",IF(ABS(H538/G538)&gt;=10,"N.M.",H538/G538))))</f>
        <v>N.M.</v>
      </c>
      <c r="J538" s="146"/>
      <c r="K538" s="143">
        <v>31562.79</v>
      </c>
      <c r="L538" s="143">
        <v>0</v>
      </c>
      <c r="M538" s="144">
        <f>+K538-L538</f>
        <v>31562.79</v>
      </c>
      <c r="N538" s="145" t="str">
        <f>IF(L538&lt;0,IF(M538=0,0,IF(OR(L538=0,K538=0),"N.M.",IF(ABS(M538/L538)&gt;=10,"N.M.",M538/(-L538)))),IF(M538=0,0,IF(OR(L538=0,K538=0),"N.M.",IF(ABS(M538/L538)&gt;=10,"N.M.",M538/L538))))</f>
        <v>N.M.</v>
      </c>
      <c r="O538" s="147"/>
      <c r="P538" s="146"/>
      <c r="Q538" s="143">
        <v>173303.17</v>
      </c>
      <c r="R538" s="143">
        <v>0</v>
      </c>
      <c r="S538" s="144">
        <f>+Q538-R538</f>
        <v>173303.17</v>
      </c>
      <c r="T538" s="145" t="str">
        <f>IF(R538&lt;0,IF(S538=0,0,IF(OR(R538=0,Q538=0),"N.M.",IF(ABS(S538/R538)&gt;=10,"N.M.",S538/(-R538)))),IF(S538=0,0,IF(OR(R538=0,Q538=0),"N.M.",IF(ABS(S538/R538)&gt;=10,"N.M.",S538/R538))))</f>
        <v>N.M.</v>
      </c>
      <c r="U538" s="146"/>
      <c r="V538" s="143">
        <v>173303.17</v>
      </c>
      <c r="W538" s="143">
        <v>0</v>
      </c>
      <c r="X538" s="144">
        <f>+V538-W538</f>
        <v>173303.17</v>
      </c>
      <c r="Y538" s="145" t="str">
        <f>IF(W538&lt;0,IF(X538=0,0,IF(OR(W538=0,V538=0),"N.M.",IF(ABS(X538/W538)&gt;=10,"N.M.",X538/(-W538)))),IF(X538=0,0,IF(OR(W538=0,V538=0),"N.M.",IF(ABS(X538/W538)&gt;=10,"N.M.",X538/W538))))</f>
        <v>N.M.</v>
      </c>
      <c r="Z538" s="148"/>
      <c r="AA538" s="149">
        <v>0</v>
      </c>
      <c r="AB538" s="150"/>
      <c r="AC538" s="117">
        <v>0</v>
      </c>
      <c r="AD538" s="117">
        <v>0</v>
      </c>
      <c r="AE538" s="117">
        <v>0</v>
      </c>
      <c r="AF538" s="117">
        <v>0</v>
      </c>
      <c r="AG538" s="117">
        <v>0</v>
      </c>
      <c r="AH538" s="117">
        <v>0</v>
      </c>
      <c r="AI538" s="117">
        <v>0</v>
      </c>
      <c r="AJ538" s="117">
        <v>0</v>
      </c>
      <c r="AK538" s="117">
        <v>0</v>
      </c>
      <c r="AL538" s="117">
        <v>0</v>
      </c>
      <c r="AM538" s="117">
        <v>0</v>
      </c>
      <c r="AN538" s="117">
        <v>141740.38</v>
      </c>
      <c r="AO538" s="150"/>
      <c r="AP538" s="117">
        <v>16139.54</v>
      </c>
      <c r="AQ538" s="117">
        <v>15423.25</v>
      </c>
      <c r="AR538" s="117">
        <v>0</v>
      </c>
      <c r="AS538" s="117">
        <v>0</v>
      </c>
      <c r="AT538" s="117">
        <v>0</v>
      </c>
      <c r="AU538" s="117">
        <v>0</v>
      </c>
      <c r="AV538" s="117">
        <v>0</v>
      </c>
      <c r="AW538" s="117">
        <v>0</v>
      </c>
      <c r="AX538" s="117">
        <v>0</v>
      </c>
      <c r="AY538" s="117">
        <v>0</v>
      </c>
      <c r="AZ538" s="117">
        <v>0</v>
      </c>
      <c r="BA538" s="117">
        <v>0</v>
      </c>
    </row>
    <row r="539" spans="1:53" s="244" customFormat="1" x14ac:dyDescent="0.25">
      <c r="A539" s="211" t="s">
        <v>1496</v>
      </c>
      <c r="B539" s="212" t="s">
        <v>1497</v>
      </c>
      <c r="C539" s="238" t="s">
        <v>1498</v>
      </c>
      <c r="D539" s="246"/>
      <c r="E539" s="246"/>
      <c r="F539" s="241">
        <v>15423.25</v>
      </c>
      <c r="G539" s="241">
        <v>0</v>
      </c>
      <c r="H539" s="236">
        <f>+F539-G539</f>
        <v>15423.25</v>
      </c>
      <c r="I539" s="237" t="str">
        <f>IF(G539&lt;0,IF(H539=0,0,IF(OR(G539=0,F539=0),"N.M.",IF(ABS(H539/G539)&gt;=10,"N.M.",H539/(-G539)))),IF(H539=0,0,IF(OR(G539=0,F539=0),"N.M.",IF(ABS(H539/G539)&gt;=10,"N.M.",H539/G539))))</f>
        <v>N.M.</v>
      </c>
      <c r="J539" s="242"/>
      <c r="K539" s="241">
        <v>31562.79</v>
      </c>
      <c r="L539" s="241">
        <v>0</v>
      </c>
      <c r="M539" s="236">
        <f>+K539-L539</f>
        <v>31562.79</v>
      </c>
      <c r="N539" s="237" t="str">
        <f>IF(L539&lt;0,IF(M539=0,0,IF(OR(L539=0,K539=0),"N.M.",IF(ABS(M539/L539)&gt;=10,"N.M.",M539/(-L539)))),IF(M539=0,0,IF(OR(L539=0,K539=0),"N.M.",IF(ABS(M539/L539)&gt;=10,"N.M.",M539/L539))))</f>
        <v>N.M.</v>
      </c>
      <c r="O539" s="148"/>
      <c r="P539" s="243"/>
      <c r="Q539" s="241">
        <v>173303.17</v>
      </c>
      <c r="R539" s="241">
        <v>0</v>
      </c>
      <c r="S539" s="236">
        <f>+Q539-R539</f>
        <v>173303.17</v>
      </c>
      <c r="T539" s="237" t="str">
        <f>IF(R539&lt;0,IF(S539=0,0,IF(OR(R539=0,Q539=0),"N.M.",IF(ABS(S539/R539)&gt;=10,"N.M.",S539/(-R539)))),IF(S539=0,0,IF(OR(R539=0,Q539=0),"N.M.",IF(ABS(S539/R539)&gt;=10,"N.M.",S539/R539))))</f>
        <v>N.M.</v>
      </c>
      <c r="U539" s="243"/>
      <c r="V539" s="241">
        <v>173303.17</v>
      </c>
      <c r="W539" s="241">
        <v>0</v>
      </c>
      <c r="X539" s="236">
        <f>+V539-W539</f>
        <v>173303.17</v>
      </c>
      <c r="Y539" s="232" t="str">
        <f>IF(W539&lt;0,IF(X539=0,0,IF(OR(W539=0,V539=0),"N.M.",IF(ABS(X539/W539)&gt;=10,"N.M.",X539/(-W539)))),IF(X539=0,0,IF(OR(W539=0,V539=0),"N.M.",IF(ABS(X539/W539)&gt;=10,"N.M.",X539/W539))))</f>
        <v>N.M.</v>
      </c>
      <c r="AA539" s="241">
        <v>0</v>
      </c>
      <c r="AB539" s="245"/>
      <c r="AC539" s="241">
        <v>0</v>
      </c>
      <c r="AD539" s="241">
        <v>0</v>
      </c>
      <c r="AE539" s="241">
        <v>0</v>
      </c>
      <c r="AF539" s="241">
        <v>0</v>
      </c>
      <c r="AG539" s="241">
        <v>0</v>
      </c>
      <c r="AH539" s="241">
        <v>0</v>
      </c>
      <c r="AI539" s="241">
        <v>0</v>
      </c>
      <c r="AJ539" s="241">
        <v>0</v>
      </c>
      <c r="AK539" s="241">
        <v>0</v>
      </c>
      <c r="AL539" s="241">
        <v>0</v>
      </c>
      <c r="AM539" s="241">
        <v>0</v>
      </c>
      <c r="AN539" s="241">
        <v>141740.38</v>
      </c>
      <c r="AO539" s="245"/>
      <c r="AP539" s="241">
        <v>16139.54</v>
      </c>
      <c r="AQ539" s="241">
        <v>15423.25</v>
      </c>
      <c r="AR539" s="241">
        <v>0</v>
      </c>
      <c r="AS539" s="241">
        <v>0</v>
      </c>
      <c r="AT539" s="241">
        <v>0</v>
      </c>
      <c r="AU539" s="241">
        <v>0</v>
      </c>
      <c r="AV539" s="241">
        <v>0</v>
      </c>
      <c r="AW539" s="241">
        <v>0</v>
      </c>
      <c r="AX539" s="241">
        <v>0</v>
      </c>
      <c r="AY539" s="241">
        <v>0</v>
      </c>
      <c r="AZ539" s="241">
        <v>0</v>
      </c>
      <c r="BA539" s="241">
        <v>0</v>
      </c>
    </row>
    <row r="540" spans="1:53" s="244" customFormat="1" ht="0.75" customHeight="1" outlineLevel="2" x14ac:dyDescent="0.25">
      <c r="A540" s="211"/>
      <c r="B540" s="212"/>
      <c r="C540" s="238"/>
      <c r="D540" s="246"/>
      <c r="E540" s="246"/>
      <c r="F540" s="241"/>
      <c r="G540" s="241"/>
      <c r="H540" s="236"/>
      <c r="I540" s="237"/>
      <c r="J540" s="242"/>
      <c r="K540" s="241"/>
      <c r="L540" s="241"/>
      <c r="M540" s="236"/>
      <c r="N540" s="237"/>
      <c r="O540" s="148"/>
      <c r="P540" s="243"/>
      <c r="Q540" s="241"/>
      <c r="R540" s="241"/>
      <c r="S540" s="236"/>
      <c r="T540" s="237"/>
      <c r="U540" s="243"/>
      <c r="V540" s="241"/>
      <c r="W540" s="241"/>
      <c r="X540" s="236"/>
      <c r="Y540" s="232"/>
      <c r="AA540" s="241"/>
      <c r="AB540" s="245"/>
      <c r="AC540" s="241"/>
      <c r="AD540" s="241"/>
      <c r="AE540" s="241"/>
      <c r="AF540" s="241"/>
      <c r="AG540" s="241"/>
      <c r="AH540" s="241"/>
      <c r="AI540" s="241"/>
      <c r="AJ540" s="241"/>
      <c r="AK540" s="241"/>
      <c r="AL540" s="241"/>
      <c r="AM540" s="241"/>
      <c r="AN540" s="241"/>
      <c r="AO540" s="245"/>
      <c r="AP540" s="241"/>
      <c r="AQ540" s="241"/>
      <c r="AR540" s="241"/>
      <c r="AS540" s="241"/>
      <c r="AT540" s="241"/>
      <c r="AU540" s="241"/>
      <c r="AV540" s="241"/>
      <c r="AW540" s="241"/>
      <c r="AX540" s="241"/>
      <c r="AY540" s="241"/>
      <c r="AZ540" s="241"/>
      <c r="BA540" s="241"/>
    </row>
    <row r="541" spans="1:53" s="138" customFormat="1" outlineLevel="2" x14ac:dyDescent="0.25">
      <c r="A541" s="138" t="s">
        <v>1499</v>
      </c>
      <c r="B541" s="139" t="s">
        <v>1500</v>
      </c>
      <c r="C541" s="140" t="s">
        <v>1501</v>
      </c>
      <c r="D541" s="141"/>
      <c r="E541" s="142"/>
      <c r="F541" s="143">
        <v>175.53</v>
      </c>
      <c r="G541" s="143">
        <v>0</v>
      </c>
      <c r="H541" s="144">
        <f>+F541-G541</f>
        <v>175.53</v>
      </c>
      <c r="I541" s="145" t="str">
        <f>IF(G541&lt;0,IF(H541=0,0,IF(OR(G541=0,F541=0),"N.M.",IF(ABS(H541/G541)&gt;=10,"N.M.",H541/(-G541)))),IF(H541=0,0,IF(OR(G541=0,F541=0),"N.M.",IF(ABS(H541/G541)&gt;=10,"N.M.",H541/G541))))</f>
        <v>N.M.</v>
      </c>
      <c r="J541" s="146"/>
      <c r="K541" s="143">
        <v>336.05</v>
      </c>
      <c r="L541" s="143">
        <v>0</v>
      </c>
      <c r="M541" s="144">
        <f>+K541-L541</f>
        <v>336.05</v>
      </c>
      <c r="N541" s="145" t="str">
        <f>IF(L541&lt;0,IF(M541=0,0,IF(OR(L541=0,K541=0),"N.M.",IF(ABS(M541/L541)&gt;=10,"N.M.",M541/(-L541)))),IF(M541=0,0,IF(OR(L541=0,K541=0),"N.M.",IF(ABS(M541/L541)&gt;=10,"N.M.",M541/L541))))</f>
        <v>N.M.</v>
      </c>
      <c r="O541" s="147"/>
      <c r="P541" s="146"/>
      <c r="Q541" s="143">
        <v>28424.01</v>
      </c>
      <c r="R541" s="143">
        <v>0</v>
      </c>
      <c r="S541" s="144">
        <f>+Q541-R541</f>
        <v>28424.01</v>
      </c>
      <c r="T541" s="145" t="str">
        <f>IF(R541&lt;0,IF(S541=0,0,IF(OR(R541=0,Q541=0),"N.M.",IF(ABS(S541/R541)&gt;=10,"N.M.",S541/(-R541)))),IF(S541=0,0,IF(OR(R541=0,Q541=0),"N.M.",IF(ABS(S541/R541)&gt;=10,"N.M.",S541/R541))))</f>
        <v>N.M.</v>
      </c>
      <c r="U541" s="146"/>
      <c r="V541" s="143">
        <v>28424.01</v>
      </c>
      <c r="W541" s="143">
        <v>0</v>
      </c>
      <c r="X541" s="144">
        <f>+V541-W541</f>
        <v>28424.01</v>
      </c>
      <c r="Y541" s="145" t="str">
        <f>IF(W541&lt;0,IF(X541=0,0,IF(OR(W541=0,V541=0),"N.M.",IF(ABS(X541/W541)&gt;=10,"N.M.",X541/(-W541)))),IF(X541=0,0,IF(OR(W541=0,V541=0),"N.M.",IF(ABS(X541/W541)&gt;=10,"N.M.",X541/W541))))</f>
        <v>N.M.</v>
      </c>
      <c r="Z541" s="148"/>
      <c r="AA541" s="149">
        <v>0</v>
      </c>
      <c r="AB541" s="150"/>
      <c r="AC541" s="117">
        <v>0</v>
      </c>
      <c r="AD541" s="117">
        <v>0</v>
      </c>
      <c r="AE541" s="117">
        <v>0</v>
      </c>
      <c r="AF541" s="117">
        <v>0</v>
      </c>
      <c r="AG541" s="117">
        <v>0</v>
      </c>
      <c r="AH541" s="117">
        <v>0</v>
      </c>
      <c r="AI541" s="117">
        <v>0</v>
      </c>
      <c r="AJ541" s="117">
        <v>0</v>
      </c>
      <c r="AK541" s="117">
        <v>0</v>
      </c>
      <c r="AL541" s="117">
        <v>0</v>
      </c>
      <c r="AM541" s="117">
        <v>0</v>
      </c>
      <c r="AN541" s="117">
        <v>28087.96</v>
      </c>
      <c r="AO541" s="150"/>
      <c r="AP541" s="117">
        <v>160.52000000000001</v>
      </c>
      <c r="AQ541" s="117">
        <v>175.53</v>
      </c>
      <c r="AR541" s="117">
        <v>0</v>
      </c>
      <c r="AS541" s="117">
        <v>0</v>
      </c>
      <c r="AT541" s="117">
        <v>0</v>
      </c>
      <c r="AU541" s="117">
        <v>0</v>
      </c>
      <c r="AV541" s="117">
        <v>0</v>
      </c>
      <c r="AW541" s="117">
        <v>0</v>
      </c>
      <c r="AX541" s="117">
        <v>0</v>
      </c>
      <c r="AY541" s="117">
        <v>0</v>
      </c>
      <c r="AZ541" s="117">
        <v>0</v>
      </c>
      <c r="BA541" s="117">
        <v>0</v>
      </c>
    </row>
    <row r="542" spans="1:53" s="244" customFormat="1" x14ac:dyDescent="0.25">
      <c r="A542" s="211" t="s">
        <v>1502</v>
      </c>
      <c r="B542" s="212" t="s">
        <v>1503</v>
      </c>
      <c r="C542" s="238" t="s">
        <v>1504</v>
      </c>
      <c r="D542" s="246"/>
      <c r="E542" s="246"/>
      <c r="F542" s="241">
        <v>175.53</v>
      </c>
      <c r="G542" s="241">
        <v>0</v>
      </c>
      <c r="H542" s="236">
        <f>+F542-G542</f>
        <v>175.53</v>
      </c>
      <c r="I542" s="237" t="str">
        <f>IF(G542&lt;0,IF(H542=0,0,IF(OR(G542=0,F542=0),"N.M.",IF(ABS(H542/G542)&gt;=10,"N.M.",H542/(-G542)))),IF(H542=0,0,IF(OR(G542=0,F542=0),"N.M.",IF(ABS(H542/G542)&gt;=10,"N.M.",H542/G542))))</f>
        <v>N.M.</v>
      </c>
      <c r="J542" s="242"/>
      <c r="K542" s="241">
        <v>336.05</v>
      </c>
      <c r="L542" s="241">
        <v>0</v>
      </c>
      <c r="M542" s="236">
        <f>+K542-L542</f>
        <v>336.05</v>
      </c>
      <c r="N542" s="237" t="str">
        <f>IF(L542&lt;0,IF(M542=0,0,IF(OR(L542=0,K542=0),"N.M.",IF(ABS(M542/L542)&gt;=10,"N.M.",M542/(-L542)))),IF(M542=0,0,IF(OR(L542=0,K542=0),"N.M.",IF(ABS(M542/L542)&gt;=10,"N.M.",M542/L542))))</f>
        <v>N.M.</v>
      </c>
      <c r="O542" s="148"/>
      <c r="P542" s="243"/>
      <c r="Q542" s="241">
        <v>28424.01</v>
      </c>
      <c r="R542" s="241">
        <v>0</v>
      </c>
      <c r="S542" s="236">
        <f>+Q542-R542</f>
        <v>28424.01</v>
      </c>
      <c r="T542" s="237" t="str">
        <f>IF(R542&lt;0,IF(S542=0,0,IF(OR(R542=0,Q542=0),"N.M.",IF(ABS(S542/R542)&gt;=10,"N.M.",S542/(-R542)))),IF(S542=0,0,IF(OR(R542=0,Q542=0),"N.M.",IF(ABS(S542/R542)&gt;=10,"N.M.",S542/R542))))</f>
        <v>N.M.</v>
      </c>
      <c r="U542" s="243"/>
      <c r="V542" s="241">
        <v>28424.01</v>
      </c>
      <c r="W542" s="241">
        <v>0</v>
      </c>
      <c r="X542" s="236">
        <f>+V542-W542</f>
        <v>28424.01</v>
      </c>
      <c r="Y542" s="232" t="str">
        <f>IF(W542&lt;0,IF(X542=0,0,IF(OR(W542=0,V542=0),"N.M.",IF(ABS(X542/W542)&gt;=10,"N.M.",X542/(-W542)))),IF(X542=0,0,IF(OR(W542=0,V542=0),"N.M.",IF(ABS(X542/W542)&gt;=10,"N.M.",X542/W542))))</f>
        <v>N.M.</v>
      </c>
      <c r="AA542" s="241">
        <v>0</v>
      </c>
      <c r="AB542" s="245"/>
      <c r="AC542" s="241">
        <v>0</v>
      </c>
      <c r="AD542" s="241">
        <v>0</v>
      </c>
      <c r="AE542" s="241">
        <v>0</v>
      </c>
      <c r="AF542" s="241">
        <v>0</v>
      </c>
      <c r="AG542" s="241">
        <v>0</v>
      </c>
      <c r="AH542" s="241">
        <v>0</v>
      </c>
      <c r="AI542" s="241">
        <v>0</v>
      </c>
      <c r="AJ542" s="241">
        <v>0</v>
      </c>
      <c r="AK542" s="241">
        <v>0</v>
      </c>
      <c r="AL542" s="241">
        <v>0</v>
      </c>
      <c r="AM542" s="241">
        <v>0</v>
      </c>
      <c r="AN542" s="241">
        <v>28087.96</v>
      </c>
      <c r="AO542" s="245"/>
      <c r="AP542" s="241">
        <v>160.52000000000001</v>
      </c>
      <c r="AQ542" s="241">
        <v>175.53</v>
      </c>
      <c r="AR542" s="241">
        <v>0</v>
      </c>
      <c r="AS542" s="241">
        <v>0</v>
      </c>
      <c r="AT542" s="241">
        <v>0</v>
      </c>
      <c r="AU542" s="241">
        <v>0</v>
      </c>
      <c r="AV542" s="241">
        <v>0</v>
      </c>
      <c r="AW542" s="241">
        <v>0</v>
      </c>
      <c r="AX542" s="241">
        <v>0</v>
      </c>
      <c r="AY542" s="241">
        <v>0</v>
      </c>
      <c r="AZ542" s="241">
        <v>0</v>
      </c>
      <c r="BA542" s="241">
        <v>0</v>
      </c>
    </row>
    <row r="543" spans="1:53" s="244" customFormat="1" ht="0.75" customHeight="1" outlineLevel="2" x14ac:dyDescent="0.25">
      <c r="A543" s="211"/>
      <c r="B543" s="212"/>
      <c r="C543" s="238"/>
      <c r="D543" s="246"/>
      <c r="E543" s="246"/>
      <c r="F543" s="241"/>
      <c r="G543" s="241"/>
      <c r="H543" s="236"/>
      <c r="I543" s="237"/>
      <c r="J543" s="242"/>
      <c r="K543" s="241"/>
      <c r="L543" s="241"/>
      <c r="M543" s="236"/>
      <c r="N543" s="237"/>
      <c r="O543" s="148"/>
      <c r="P543" s="243"/>
      <c r="Q543" s="241"/>
      <c r="R543" s="241"/>
      <c r="S543" s="236"/>
      <c r="T543" s="237"/>
      <c r="U543" s="243"/>
      <c r="V543" s="241"/>
      <c r="W543" s="241"/>
      <c r="X543" s="236"/>
      <c r="Y543" s="232"/>
      <c r="AA543" s="241"/>
      <c r="AB543" s="245"/>
      <c r="AC543" s="241"/>
      <c r="AD543" s="241"/>
      <c r="AE543" s="241"/>
      <c r="AF543" s="241"/>
      <c r="AG543" s="241"/>
      <c r="AH543" s="241"/>
      <c r="AI543" s="241"/>
      <c r="AJ543" s="241"/>
      <c r="AK543" s="241"/>
      <c r="AL543" s="241"/>
      <c r="AM543" s="241"/>
      <c r="AN543" s="241"/>
      <c r="AO543" s="245"/>
      <c r="AP543" s="241"/>
      <c r="AQ543" s="241"/>
      <c r="AR543" s="241"/>
      <c r="AS543" s="241"/>
      <c r="AT543" s="241"/>
      <c r="AU543" s="241"/>
      <c r="AV543" s="241"/>
      <c r="AW543" s="241"/>
      <c r="AX543" s="241"/>
      <c r="AY543" s="241"/>
      <c r="AZ543" s="241"/>
      <c r="BA543" s="241"/>
    </row>
    <row r="544" spans="1:53" s="138" customFormat="1" outlineLevel="2" x14ac:dyDescent="0.25">
      <c r="A544" s="138" t="s">
        <v>1505</v>
      </c>
      <c r="B544" s="139" t="s">
        <v>1506</v>
      </c>
      <c r="C544" s="140" t="s">
        <v>1507</v>
      </c>
      <c r="D544" s="141"/>
      <c r="E544" s="142"/>
      <c r="F544" s="143">
        <v>2625</v>
      </c>
      <c r="G544" s="143">
        <v>2625</v>
      </c>
      <c r="H544" s="144">
        <f>+F544-G544</f>
        <v>0</v>
      </c>
      <c r="I544" s="145">
        <f>IF(G544&lt;0,IF(H544=0,0,IF(OR(G544=0,F544=0),"N.M.",IF(ABS(H544/G544)&gt;=10,"N.M.",H544/(-G544)))),IF(H544=0,0,IF(OR(G544=0,F544=0),"N.M.",IF(ABS(H544/G544)&gt;=10,"N.M.",H544/G544))))</f>
        <v>0</v>
      </c>
      <c r="J544" s="146"/>
      <c r="K544" s="143">
        <v>5250</v>
      </c>
      <c r="L544" s="143">
        <v>5250</v>
      </c>
      <c r="M544" s="144">
        <f>+K544-L544</f>
        <v>0</v>
      </c>
      <c r="N544" s="145">
        <f>IF(L544&lt;0,IF(M544=0,0,IF(OR(L544=0,K544=0),"N.M.",IF(ABS(M544/L544)&gt;=10,"N.M.",M544/(-L544)))),IF(M544=0,0,IF(OR(L544=0,K544=0),"N.M.",IF(ABS(M544/L544)&gt;=10,"N.M.",M544/L544))))</f>
        <v>0</v>
      </c>
      <c r="O544" s="147"/>
      <c r="P544" s="146"/>
      <c r="Q544" s="143">
        <v>7875</v>
      </c>
      <c r="R544" s="143">
        <v>7875</v>
      </c>
      <c r="S544" s="144">
        <f>+Q544-R544</f>
        <v>0</v>
      </c>
      <c r="T544" s="145">
        <f>IF(R544&lt;0,IF(S544=0,0,IF(OR(R544=0,Q544=0),"N.M.",IF(ABS(S544/R544)&gt;=10,"N.M.",S544/(-R544)))),IF(S544=0,0,IF(OR(R544=0,Q544=0),"N.M.",IF(ABS(S544/R544)&gt;=10,"N.M.",S544/R544))))</f>
        <v>0</v>
      </c>
      <c r="U544" s="146"/>
      <c r="V544" s="143">
        <v>32500</v>
      </c>
      <c r="W544" s="143">
        <v>32500</v>
      </c>
      <c r="X544" s="144">
        <f>+V544-W544</f>
        <v>0</v>
      </c>
      <c r="Y544" s="145">
        <f>IF(W544&lt;0,IF(X544=0,0,IF(OR(W544=0,V544=0),"N.M.",IF(ABS(X544/W544)&gt;=10,"N.M.",X544/(-W544)))),IF(X544=0,0,IF(OR(W544=0,V544=0),"N.M.",IF(ABS(X544/W544)&gt;=10,"N.M.",X544/W544))))</f>
        <v>0</v>
      </c>
      <c r="Z544" s="148"/>
      <c r="AA544" s="149">
        <v>2625</v>
      </c>
      <c r="AB544" s="150"/>
      <c r="AC544" s="117">
        <v>2625</v>
      </c>
      <c r="AD544" s="117">
        <v>2625</v>
      </c>
      <c r="AE544" s="117">
        <v>3625</v>
      </c>
      <c r="AF544" s="117">
        <v>2625</v>
      </c>
      <c r="AG544" s="117">
        <v>2625</v>
      </c>
      <c r="AH544" s="117">
        <v>2625</v>
      </c>
      <c r="AI544" s="117">
        <v>2625</v>
      </c>
      <c r="AJ544" s="117">
        <v>2625</v>
      </c>
      <c r="AK544" s="117">
        <v>2625</v>
      </c>
      <c r="AL544" s="117">
        <v>2625</v>
      </c>
      <c r="AM544" s="117">
        <v>2625</v>
      </c>
      <c r="AN544" s="117">
        <v>2625</v>
      </c>
      <c r="AO544" s="150"/>
      <c r="AP544" s="117">
        <v>2625</v>
      </c>
      <c r="AQ544" s="117">
        <v>2625</v>
      </c>
      <c r="AR544" s="117">
        <v>400</v>
      </c>
      <c r="AS544" s="117">
        <v>0</v>
      </c>
      <c r="AT544" s="117">
        <v>0</v>
      </c>
      <c r="AU544" s="117">
        <v>0</v>
      </c>
      <c r="AV544" s="117">
        <v>0</v>
      </c>
      <c r="AW544" s="117">
        <v>0</v>
      </c>
      <c r="AX544" s="117">
        <v>0</v>
      </c>
      <c r="AY544" s="117">
        <v>0</v>
      </c>
      <c r="AZ544" s="117">
        <v>0</v>
      </c>
      <c r="BA544" s="117">
        <v>0</v>
      </c>
    </row>
    <row r="545" spans="1:53" s="138" customFormat="1" outlineLevel="2" x14ac:dyDescent="0.25">
      <c r="A545" s="138" t="s">
        <v>1508</v>
      </c>
      <c r="B545" s="139" t="s">
        <v>1509</v>
      </c>
      <c r="C545" s="140" t="s">
        <v>1510</v>
      </c>
      <c r="D545" s="141"/>
      <c r="E545" s="142"/>
      <c r="F545" s="143">
        <v>-2.87</v>
      </c>
      <c r="G545" s="143">
        <v>0</v>
      </c>
      <c r="H545" s="144">
        <f>+F545-G545</f>
        <v>-2.87</v>
      </c>
      <c r="I545" s="145" t="str">
        <f>IF(G545&lt;0,IF(H545=0,0,IF(OR(G545=0,F545=0),"N.M.",IF(ABS(H545/G545)&gt;=10,"N.M.",H545/(-G545)))),IF(H545=0,0,IF(OR(G545=0,F545=0),"N.M.",IF(ABS(H545/G545)&gt;=10,"N.M.",H545/G545))))</f>
        <v>N.M.</v>
      </c>
      <c r="J545" s="146"/>
      <c r="K545" s="143">
        <v>-899.87</v>
      </c>
      <c r="L545" s="143">
        <v>0</v>
      </c>
      <c r="M545" s="144">
        <f>+K545-L545</f>
        <v>-899.87</v>
      </c>
      <c r="N545" s="145" t="str">
        <f>IF(L545&lt;0,IF(M545=0,0,IF(OR(L545=0,K545=0),"N.M.",IF(ABS(M545/L545)&gt;=10,"N.M.",M545/(-L545)))),IF(M545=0,0,IF(OR(L545=0,K545=0),"N.M.",IF(ABS(M545/L545)&gt;=10,"N.M.",M545/L545))))</f>
        <v>N.M.</v>
      </c>
      <c r="O545" s="147"/>
      <c r="P545" s="146"/>
      <c r="Q545" s="143">
        <v>-1286.3899999999999</v>
      </c>
      <c r="R545" s="143">
        <v>0</v>
      </c>
      <c r="S545" s="144">
        <f>+Q545-R545</f>
        <v>-1286.3899999999999</v>
      </c>
      <c r="T545" s="145" t="str">
        <f>IF(R545&lt;0,IF(S545=0,0,IF(OR(R545=0,Q545=0),"N.M.",IF(ABS(S545/R545)&gt;=10,"N.M.",S545/(-R545)))),IF(S545=0,0,IF(OR(R545=0,Q545=0),"N.M.",IF(ABS(S545/R545)&gt;=10,"N.M.",S545/R545))))</f>
        <v>N.M.</v>
      </c>
      <c r="U545" s="146"/>
      <c r="V545" s="143">
        <v>-3589.79</v>
      </c>
      <c r="W545" s="143">
        <v>-575</v>
      </c>
      <c r="X545" s="144">
        <f>+V545-W545</f>
        <v>-3014.79</v>
      </c>
      <c r="Y545" s="145">
        <f>IF(W545&lt;0,IF(X545=0,0,IF(OR(W545=0,V545=0),"N.M.",IF(ABS(X545/W545)&gt;=10,"N.M.",X545/(-W545)))),IF(X545=0,0,IF(OR(W545=0,V545=0),"N.M.",IF(ABS(X545/W545)&gt;=10,"N.M.",X545/W545))))</f>
        <v>-5.2431130434782611</v>
      </c>
      <c r="Z545" s="148"/>
      <c r="AA545" s="149">
        <v>0</v>
      </c>
      <c r="AB545" s="150"/>
      <c r="AC545" s="117">
        <v>0</v>
      </c>
      <c r="AD545" s="117">
        <v>0</v>
      </c>
      <c r="AE545" s="117">
        <v>0</v>
      </c>
      <c r="AF545" s="117">
        <v>0</v>
      </c>
      <c r="AG545" s="117">
        <v>0</v>
      </c>
      <c r="AH545" s="117">
        <v>0</v>
      </c>
      <c r="AI545" s="117">
        <v>-94.41</v>
      </c>
      <c r="AJ545" s="117">
        <v>-1480.43</v>
      </c>
      <c r="AK545" s="117">
        <v>-727.18000000000006</v>
      </c>
      <c r="AL545" s="117">
        <v>-1.3800000000000001</v>
      </c>
      <c r="AM545" s="117">
        <v>0</v>
      </c>
      <c r="AN545" s="117">
        <v>-386.52</v>
      </c>
      <c r="AO545" s="150"/>
      <c r="AP545" s="117">
        <v>-897</v>
      </c>
      <c r="AQ545" s="117">
        <v>-2.87</v>
      </c>
      <c r="AR545" s="117">
        <v>0</v>
      </c>
      <c r="AS545" s="117">
        <v>0</v>
      </c>
      <c r="AT545" s="117">
        <v>0</v>
      </c>
      <c r="AU545" s="117">
        <v>0</v>
      </c>
      <c r="AV545" s="117">
        <v>0</v>
      </c>
      <c r="AW545" s="117">
        <v>0</v>
      </c>
      <c r="AX545" s="117">
        <v>0</v>
      </c>
      <c r="AY545" s="117">
        <v>0</v>
      </c>
      <c r="AZ545" s="117">
        <v>0</v>
      </c>
      <c r="BA545" s="117">
        <v>0</v>
      </c>
    </row>
    <row r="546" spans="1:53" s="138" customFormat="1" outlineLevel="2" x14ac:dyDescent="0.25">
      <c r="A546" s="138" t="s">
        <v>1511</v>
      </c>
      <c r="B546" s="139" t="s">
        <v>1512</v>
      </c>
      <c r="C546" s="140" t="s">
        <v>1513</v>
      </c>
      <c r="D546" s="141"/>
      <c r="E546" s="142"/>
      <c r="F546" s="143">
        <v>-555.81000000000006</v>
      </c>
      <c r="G546" s="143">
        <v>-555.81000000000006</v>
      </c>
      <c r="H546" s="144">
        <f>+F546-G546</f>
        <v>0</v>
      </c>
      <c r="I546" s="145">
        <f>IF(G546&lt;0,IF(H546=0,0,IF(OR(G546=0,F546=0),"N.M.",IF(ABS(H546/G546)&gt;=10,"N.M.",H546/(-G546)))),IF(H546=0,0,IF(OR(G546=0,F546=0),"N.M.",IF(ABS(H546/G546)&gt;=10,"N.M.",H546/G546))))</f>
        <v>0</v>
      </c>
      <c r="J546" s="146"/>
      <c r="K546" s="143">
        <v>-1111.6200000000001</v>
      </c>
      <c r="L546" s="143">
        <v>-1111.6200000000001</v>
      </c>
      <c r="M546" s="144">
        <f>+K546-L546</f>
        <v>0</v>
      </c>
      <c r="N546" s="145">
        <f>IF(L546&lt;0,IF(M546=0,0,IF(OR(L546=0,K546=0),"N.M.",IF(ABS(M546/L546)&gt;=10,"N.M.",M546/(-L546)))),IF(M546=0,0,IF(OR(L546=0,K546=0),"N.M.",IF(ABS(M546/L546)&gt;=10,"N.M.",M546/L546))))</f>
        <v>0</v>
      </c>
      <c r="O546" s="147"/>
      <c r="P546" s="146"/>
      <c r="Q546" s="143">
        <v>-1667.4300000000003</v>
      </c>
      <c r="R546" s="143">
        <v>-1667.4300000000003</v>
      </c>
      <c r="S546" s="144">
        <f>+Q546-R546</f>
        <v>0</v>
      </c>
      <c r="T546" s="145">
        <f>IF(R546&lt;0,IF(S546=0,0,IF(OR(R546=0,Q546=0),"N.M.",IF(ABS(S546/R546)&gt;=10,"N.M.",S546/(-R546)))),IF(S546=0,0,IF(OR(R546=0,Q546=0),"N.M.",IF(ABS(S546/R546)&gt;=10,"N.M.",S546/R546))))</f>
        <v>0</v>
      </c>
      <c r="U546" s="146"/>
      <c r="V546" s="143">
        <v>-6669.72</v>
      </c>
      <c r="W546" s="143">
        <v>-6669.72</v>
      </c>
      <c r="X546" s="144">
        <f>+V546-W546</f>
        <v>0</v>
      </c>
      <c r="Y546" s="145">
        <f>IF(W546&lt;0,IF(X546=0,0,IF(OR(W546=0,V546=0),"N.M.",IF(ABS(X546/W546)&gt;=10,"N.M.",X546/(-W546)))),IF(X546=0,0,IF(OR(W546=0,V546=0),"N.M.",IF(ABS(X546/W546)&gt;=10,"N.M.",X546/W546))))</f>
        <v>0</v>
      </c>
      <c r="Z546" s="148"/>
      <c r="AA546" s="149">
        <v>-555.81000000000006</v>
      </c>
      <c r="AB546" s="150"/>
      <c r="AC546" s="117">
        <v>-555.81000000000006</v>
      </c>
      <c r="AD546" s="117">
        <v>-555.81000000000006</v>
      </c>
      <c r="AE546" s="117">
        <v>-555.81000000000006</v>
      </c>
      <c r="AF546" s="117">
        <v>-555.81000000000006</v>
      </c>
      <c r="AG546" s="117">
        <v>-555.81000000000006</v>
      </c>
      <c r="AH546" s="117">
        <v>-555.81000000000006</v>
      </c>
      <c r="AI546" s="117">
        <v>-555.81000000000006</v>
      </c>
      <c r="AJ546" s="117">
        <v>-555.81000000000006</v>
      </c>
      <c r="AK546" s="117">
        <v>-555.81000000000006</v>
      </c>
      <c r="AL546" s="117">
        <v>-555.81000000000006</v>
      </c>
      <c r="AM546" s="117">
        <v>-555.81000000000006</v>
      </c>
      <c r="AN546" s="117">
        <v>-555.81000000000006</v>
      </c>
      <c r="AO546" s="150"/>
      <c r="AP546" s="117">
        <v>-555.81000000000006</v>
      </c>
      <c r="AQ546" s="117">
        <v>-555.81000000000006</v>
      </c>
      <c r="AR546" s="117">
        <v>0</v>
      </c>
      <c r="AS546" s="117">
        <v>0</v>
      </c>
      <c r="AT546" s="117">
        <v>0</v>
      </c>
      <c r="AU546" s="117">
        <v>0</v>
      </c>
      <c r="AV546" s="117">
        <v>0</v>
      </c>
      <c r="AW546" s="117">
        <v>0</v>
      </c>
      <c r="AX546" s="117">
        <v>0</v>
      </c>
      <c r="AY546" s="117">
        <v>0</v>
      </c>
      <c r="AZ546" s="117">
        <v>0</v>
      </c>
      <c r="BA546" s="117">
        <v>0</v>
      </c>
    </row>
    <row r="547" spans="1:53" s="244" customFormat="1" x14ac:dyDescent="0.25">
      <c r="A547" s="211" t="s">
        <v>1514</v>
      </c>
      <c r="B547" s="212" t="s">
        <v>1515</v>
      </c>
      <c r="C547" s="238" t="s">
        <v>1516</v>
      </c>
      <c r="D547" s="246"/>
      <c r="E547" s="246"/>
      <c r="F547" s="241">
        <v>2066.3200000000002</v>
      </c>
      <c r="G547" s="241">
        <v>2069.19</v>
      </c>
      <c r="H547" s="236">
        <f>+F547-G547</f>
        <v>-2.8699999999998909</v>
      </c>
      <c r="I547" s="237">
        <f>IF(G547&lt;0,IF(H547=0,0,IF(OR(G547=0,F547=0),"N.M.",IF(ABS(H547/G547)&gt;=10,"N.M.",H547/(-G547)))),IF(H547=0,0,IF(OR(G547=0,F547=0),"N.M.",IF(ABS(H547/G547)&gt;=10,"N.M.",H547/G547))))</f>
        <v>-1.3870161754115818E-3</v>
      </c>
      <c r="J547" s="242"/>
      <c r="K547" s="241">
        <v>3238.51</v>
      </c>
      <c r="L547" s="241">
        <v>4138.38</v>
      </c>
      <c r="M547" s="236">
        <f>+K547-L547</f>
        <v>-899.86999999999989</v>
      </c>
      <c r="N547" s="237">
        <f>IF(L547&lt;0,IF(M547=0,0,IF(OR(L547=0,K547=0),"N.M.",IF(ABS(M547/L547)&gt;=10,"N.M.",M547/(-L547)))),IF(M547=0,0,IF(OR(L547=0,K547=0),"N.M.",IF(ABS(M547/L547)&gt;=10,"N.M.",M547/L547))))</f>
        <v>-0.21744499055185842</v>
      </c>
      <c r="O547" s="148"/>
      <c r="P547" s="243"/>
      <c r="Q547" s="241">
        <v>4921.18</v>
      </c>
      <c r="R547" s="241">
        <v>6207.5700000000006</v>
      </c>
      <c r="S547" s="236">
        <f>+Q547-R547</f>
        <v>-1286.3900000000003</v>
      </c>
      <c r="T547" s="237">
        <f>IF(R547&lt;0,IF(S547=0,0,IF(OR(R547=0,Q547=0),"N.M.",IF(ABS(S547/R547)&gt;=10,"N.M.",S547/(-R547)))),IF(S547=0,0,IF(OR(R547=0,Q547=0),"N.M.",IF(ABS(S547/R547)&gt;=10,"N.M.",S547/R547))))</f>
        <v>-0.20722923784991554</v>
      </c>
      <c r="U547" s="243"/>
      <c r="V547" s="241">
        <v>22240.490000000005</v>
      </c>
      <c r="W547" s="241">
        <v>25255.280000000002</v>
      </c>
      <c r="X547" s="236">
        <f>+V547-W547</f>
        <v>-3014.7899999999972</v>
      </c>
      <c r="Y547" s="232">
        <f>IF(W547&lt;0,IF(X547=0,0,IF(OR(W547=0,V547=0),"N.M.",IF(ABS(X547/W547)&gt;=10,"N.M.",X547/(-W547)))),IF(X547=0,0,IF(OR(W547=0,V547=0),"N.M.",IF(ABS(X547/W547)&gt;=10,"N.M.",X547/W547))))</f>
        <v>-0.11937266187506125</v>
      </c>
      <c r="AA547" s="241">
        <v>2069.19</v>
      </c>
      <c r="AB547" s="245"/>
      <c r="AC547" s="241">
        <v>2069.19</v>
      </c>
      <c r="AD547" s="241">
        <v>2069.19</v>
      </c>
      <c r="AE547" s="241">
        <v>3069.19</v>
      </c>
      <c r="AF547" s="241">
        <v>2069.19</v>
      </c>
      <c r="AG547" s="241">
        <v>2069.19</v>
      </c>
      <c r="AH547" s="241">
        <v>2069.19</v>
      </c>
      <c r="AI547" s="241">
        <v>1974.7800000000002</v>
      </c>
      <c r="AJ547" s="241">
        <v>588.75999999999988</v>
      </c>
      <c r="AK547" s="241">
        <v>1342.0099999999998</v>
      </c>
      <c r="AL547" s="241">
        <v>2067.81</v>
      </c>
      <c r="AM547" s="241">
        <v>2069.19</v>
      </c>
      <c r="AN547" s="241">
        <v>1682.67</v>
      </c>
      <c r="AO547" s="245"/>
      <c r="AP547" s="241">
        <v>1172.19</v>
      </c>
      <c r="AQ547" s="241">
        <v>2066.3200000000002</v>
      </c>
      <c r="AR547" s="241">
        <v>400</v>
      </c>
      <c r="AS547" s="241">
        <v>0</v>
      </c>
      <c r="AT547" s="241">
        <v>0</v>
      </c>
      <c r="AU547" s="241">
        <v>0</v>
      </c>
      <c r="AV547" s="241">
        <v>0</v>
      </c>
      <c r="AW547" s="241">
        <v>0</v>
      </c>
      <c r="AX547" s="241">
        <v>0</v>
      </c>
      <c r="AY547" s="241">
        <v>0</v>
      </c>
      <c r="AZ547" s="241">
        <v>0</v>
      </c>
      <c r="BA547" s="241">
        <v>0</v>
      </c>
    </row>
    <row r="548" spans="1:53" s="244" customFormat="1" ht="0.75" customHeight="1" outlineLevel="2" x14ac:dyDescent="0.25">
      <c r="A548" s="211"/>
      <c r="B548" s="212"/>
      <c r="C548" s="238"/>
      <c r="D548" s="246"/>
      <c r="E548" s="246"/>
      <c r="F548" s="241"/>
      <c r="G548" s="241"/>
      <c r="H548" s="236"/>
      <c r="I548" s="237"/>
      <c r="J548" s="242"/>
      <c r="K548" s="241"/>
      <c r="L548" s="241"/>
      <c r="M548" s="236"/>
      <c r="N548" s="237"/>
      <c r="O548" s="148"/>
      <c r="P548" s="243"/>
      <c r="Q548" s="241"/>
      <c r="R548" s="241"/>
      <c r="S548" s="236"/>
      <c r="T548" s="237"/>
      <c r="U548" s="243"/>
      <c r="V548" s="241"/>
      <c r="W548" s="241"/>
      <c r="X548" s="236"/>
      <c r="Y548" s="232"/>
      <c r="AA548" s="241"/>
      <c r="AB548" s="245"/>
      <c r="AC548" s="241"/>
      <c r="AD548" s="241"/>
      <c r="AE548" s="241"/>
      <c r="AF548" s="241"/>
      <c r="AG548" s="241"/>
      <c r="AH548" s="241"/>
      <c r="AI548" s="241"/>
      <c r="AJ548" s="241"/>
      <c r="AK548" s="241"/>
      <c r="AL548" s="241"/>
      <c r="AM548" s="241"/>
      <c r="AN548" s="241"/>
      <c r="AO548" s="245"/>
      <c r="AP548" s="241"/>
      <c r="AQ548" s="241"/>
      <c r="AR548" s="241"/>
      <c r="AS548" s="241"/>
      <c r="AT548" s="241"/>
      <c r="AU548" s="241"/>
      <c r="AV548" s="241"/>
      <c r="AW548" s="241"/>
      <c r="AX548" s="241"/>
      <c r="AY548" s="241"/>
      <c r="AZ548" s="241"/>
      <c r="BA548" s="241"/>
    </row>
    <row r="549" spans="1:53" s="244" customFormat="1" x14ac:dyDescent="0.25">
      <c r="A549" s="211" t="s">
        <v>1517</v>
      </c>
      <c r="B549" s="212" t="s">
        <v>1518</v>
      </c>
      <c r="C549" s="238" t="s">
        <v>1519</v>
      </c>
      <c r="D549" s="246"/>
      <c r="E549" s="246"/>
      <c r="F549" s="215">
        <v>0</v>
      </c>
      <c r="G549" s="215">
        <v>0</v>
      </c>
      <c r="H549" s="236">
        <f>+F549-G549</f>
        <v>0</v>
      </c>
      <c r="I549" s="237">
        <f>IF(G549&lt;0,IF(H549=0,0,IF(OR(G549=0,F549=0),"N.M.",IF(ABS(H549/G549)&gt;=10,"N.M.",H549/(-G549)))),IF(H549=0,0,IF(OR(G549=0,F549=0),"N.M.",IF(ABS(H549/G549)&gt;=10,"N.M.",H549/G549))))</f>
        <v>0</v>
      </c>
      <c r="J549" s="242"/>
      <c r="K549" s="215">
        <v>0</v>
      </c>
      <c r="L549" s="215">
        <v>0</v>
      </c>
      <c r="M549" s="236">
        <f>+K549-L549</f>
        <v>0</v>
      </c>
      <c r="N549" s="237">
        <f>IF(L549&lt;0,IF(M549=0,0,IF(OR(L549=0,K549=0),"N.M.",IF(ABS(M549/L549)&gt;=10,"N.M.",M549/(-L549)))),IF(M549=0,0,IF(OR(L549=0,K549=0),"N.M.",IF(ABS(M549/L549)&gt;=10,"N.M.",M549/L549))))</f>
        <v>0</v>
      </c>
      <c r="O549" s="282"/>
      <c r="P549" s="283"/>
      <c r="Q549" s="215">
        <v>0</v>
      </c>
      <c r="R549" s="215">
        <v>0</v>
      </c>
      <c r="S549" s="236">
        <f>+Q549-R549</f>
        <v>0</v>
      </c>
      <c r="T549" s="237">
        <f>IF(R549&lt;0,IF(S549=0,0,IF(OR(R549=0,Q549=0),"N.M.",IF(ABS(S549/R549)&gt;=10,"N.M.",S549/(-R549)))),IF(S549=0,0,IF(OR(R549=0,Q549=0),"N.M.",IF(ABS(S549/R549)&gt;=10,"N.M.",S549/R549))))</f>
        <v>0</v>
      </c>
      <c r="U549" s="283"/>
      <c r="V549" s="215">
        <v>0</v>
      </c>
      <c r="W549" s="215">
        <v>0</v>
      </c>
      <c r="X549" s="236">
        <f>+V549-W549</f>
        <v>0</v>
      </c>
      <c r="Y549" s="232">
        <f>IF(W549&lt;0,IF(X549=0,0,IF(OR(W549=0,V549=0),"N.M.",IF(ABS(X549/W549)&gt;=10,"N.M.",X549/(-W549)))),IF(X549=0,0,IF(OR(W549=0,V549=0),"N.M.",IF(ABS(X549/W549)&gt;=10,"N.M.",X549/W549))))</f>
        <v>0</v>
      </c>
      <c r="AA549" s="215">
        <v>0</v>
      </c>
      <c r="AB549" s="245"/>
      <c r="AC549" s="215">
        <v>0</v>
      </c>
      <c r="AD549" s="215">
        <v>0</v>
      </c>
      <c r="AE549" s="215">
        <v>0</v>
      </c>
      <c r="AF549" s="215">
        <v>0</v>
      </c>
      <c r="AG549" s="215">
        <v>0</v>
      </c>
      <c r="AH549" s="215">
        <v>0</v>
      </c>
      <c r="AI549" s="215">
        <v>0</v>
      </c>
      <c r="AJ549" s="215">
        <v>0</v>
      </c>
      <c r="AK549" s="215">
        <v>0</v>
      </c>
      <c r="AL549" s="215">
        <v>0</v>
      </c>
      <c r="AM549" s="215">
        <v>0</v>
      </c>
      <c r="AN549" s="215">
        <v>0</v>
      </c>
      <c r="AO549" s="245"/>
      <c r="AP549" s="215">
        <v>0</v>
      </c>
      <c r="AQ549" s="215">
        <v>0</v>
      </c>
      <c r="AR549" s="215">
        <v>0</v>
      </c>
      <c r="AS549" s="215">
        <v>0</v>
      </c>
      <c r="AT549" s="215">
        <v>0</v>
      </c>
      <c r="AU549" s="215">
        <v>0</v>
      </c>
      <c r="AV549" s="215">
        <v>0</v>
      </c>
      <c r="AW549" s="215">
        <v>0</v>
      </c>
      <c r="AX549" s="215">
        <v>0</v>
      </c>
      <c r="AY549" s="215">
        <v>0</v>
      </c>
      <c r="AZ549" s="215">
        <v>0</v>
      </c>
      <c r="BA549" s="215">
        <v>0</v>
      </c>
    </row>
    <row r="550" spans="1:53" s="244" customFormat="1" ht="0.75" customHeight="1" outlineLevel="2" x14ac:dyDescent="0.25">
      <c r="A550" s="211"/>
      <c r="B550" s="212"/>
      <c r="C550" s="238"/>
      <c r="D550" s="246"/>
      <c r="E550" s="246"/>
      <c r="F550" s="215"/>
      <c r="G550" s="215"/>
      <c r="H550" s="236"/>
      <c r="I550" s="237"/>
      <c r="J550" s="242"/>
      <c r="K550" s="215"/>
      <c r="L550" s="215"/>
      <c r="M550" s="236"/>
      <c r="N550" s="237"/>
      <c r="O550" s="282"/>
      <c r="P550" s="283"/>
      <c r="Q550" s="215"/>
      <c r="R550" s="215"/>
      <c r="S550" s="236"/>
      <c r="T550" s="237"/>
      <c r="U550" s="283"/>
      <c r="V550" s="215"/>
      <c r="W550" s="215"/>
      <c r="X550" s="236"/>
      <c r="Y550" s="232"/>
      <c r="AA550" s="215"/>
      <c r="AB550" s="245"/>
      <c r="AC550" s="215"/>
      <c r="AD550" s="215"/>
      <c r="AE550" s="215"/>
      <c r="AF550" s="215"/>
      <c r="AG550" s="215"/>
      <c r="AH550" s="215"/>
      <c r="AI550" s="215"/>
      <c r="AJ550" s="215"/>
      <c r="AK550" s="215"/>
      <c r="AL550" s="215"/>
      <c r="AM550" s="215"/>
      <c r="AN550" s="215"/>
      <c r="AO550" s="245"/>
      <c r="AP550" s="215"/>
      <c r="AQ550" s="215"/>
      <c r="AR550" s="215"/>
      <c r="AS550" s="215"/>
      <c r="AT550" s="215"/>
      <c r="AU550" s="215"/>
      <c r="AV550" s="215"/>
      <c r="AW550" s="215"/>
      <c r="AX550" s="215"/>
      <c r="AY550" s="215"/>
      <c r="AZ550" s="215"/>
      <c r="BA550" s="215"/>
    </row>
    <row r="551" spans="1:53" s="138" customFormat="1" outlineLevel="2" x14ac:dyDescent="0.25">
      <c r="A551" s="138" t="s">
        <v>1520</v>
      </c>
      <c r="B551" s="139" t="s">
        <v>1521</v>
      </c>
      <c r="C551" s="140" t="s">
        <v>1522</v>
      </c>
      <c r="D551" s="141"/>
      <c r="E551" s="142"/>
      <c r="F551" s="143">
        <v>1898.6000000000001</v>
      </c>
      <c r="G551" s="143">
        <v>2014.51</v>
      </c>
      <c r="H551" s="144">
        <f>+F551-G551</f>
        <v>-115.90999999999985</v>
      </c>
      <c r="I551" s="145">
        <f>IF(G551&lt;0,IF(H551=0,0,IF(OR(G551=0,F551=0),"N.M.",IF(ABS(H551/G551)&gt;=10,"N.M.",H551/(-G551)))),IF(H551=0,0,IF(OR(G551=0,F551=0),"N.M.",IF(ABS(H551/G551)&gt;=10,"N.M.",H551/G551))))</f>
        <v>-5.7537564966170358E-2</v>
      </c>
      <c r="J551" s="146"/>
      <c r="K551" s="143">
        <v>3834.31</v>
      </c>
      <c r="L551" s="143">
        <v>3650.02</v>
      </c>
      <c r="M551" s="144">
        <f>+K551-L551</f>
        <v>184.28999999999996</v>
      </c>
      <c r="N551" s="145">
        <f>IF(L551&lt;0,IF(M551=0,0,IF(OR(L551=0,K551=0),"N.M.",IF(ABS(M551/L551)&gt;=10,"N.M.",M551/(-L551)))),IF(M551=0,0,IF(OR(L551=0,K551=0),"N.M.",IF(ABS(M551/L551)&gt;=10,"N.M.",M551/L551))))</f>
        <v>5.0490134300633961E-2</v>
      </c>
      <c r="O551" s="147"/>
      <c r="P551" s="146"/>
      <c r="Q551" s="143">
        <v>6209.7800000000007</v>
      </c>
      <c r="R551" s="143">
        <v>4494.3500000000004</v>
      </c>
      <c r="S551" s="144">
        <f>+Q551-R551</f>
        <v>1715.4300000000003</v>
      </c>
      <c r="T551" s="145">
        <f>IF(R551&lt;0,IF(S551=0,0,IF(OR(R551=0,Q551=0),"N.M.",IF(ABS(S551/R551)&gt;=10,"N.M.",S551/(-R551)))),IF(S551=0,0,IF(OR(R551=0,Q551=0),"N.M.",IF(ABS(S551/R551)&gt;=10,"N.M.",S551/R551))))</f>
        <v>0.38168589451199841</v>
      </c>
      <c r="U551" s="146"/>
      <c r="V551" s="143">
        <v>30258.030000000002</v>
      </c>
      <c r="W551" s="143">
        <v>90263.89</v>
      </c>
      <c r="X551" s="144">
        <f>+V551-W551</f>
        <v>-60005.86</v>
      </c>
      <c r="Y551" s="145">
        <f>IF(W551&lt;0,IF(X551=0,0,IF(OR(W551=0,V551=0),"N.M.",IF(ABS(X551/W551)&gt;=10,"N.M.",X551/(-W551)))),IF(X551=0,0,IF(OR(W551=0,V551=0),"N.M.",IF(ABS(X551/W551)&gt;=10,"N.M.",X551/W551))))</f>
        <v>-0.66478256144289816</v>
      </c>
      <c r="Z551" s="148"/>
      <c r="AA551" s="149">
        <v>844.33</v>
      </c>
      <c r="AB551" s="150"/>
      <c r="AC551" s="117">
        <v>1635.51</v>
      </c>
      <c r="AD551" s="117">
        <v>2014.51</v>
      </c>
      <c r="AE551" s="117">
        <v>-4138.12</v>
      </c>
      <c r="AF551" s="117">
        <v>1859.76</v>
      </c>
      <c r="AG551" s="117">
        <v>1626.67</v>
      </c>
      <c r="AH551" s="117">
        <v>1382.76</v>
      </c>
      <c r="AI551" s="117">
        <v>1636.15</v>
      </c>
      <c r="AJ551" s="117">
        <v>-185.66</v>
      </c>
      <c r="AK551" s="117">
        <v>1635.91</v>
      </c>
      <c r="AL551" s="117">
        <v>1844.64</v>
      </c>
      <c r="AM551" s="117">
        <v>18386.14</v>
      </c>
      <c r="AN551" s="117">
        <v>2375.4700000000003</v>
      </c>
      <c r="AO551" s="150"/>
      <c r="AP551" s="117">
        <v>1935.71</v>
      </c>
      <c r="AQ551" s="117">
        <v>1898.6000000000001</v>
      </c>
      <c r="AR551" s="117">
        <v>0</v>
      </c>
      <c r="AS551" s="117">
        <v>0</v>
      </c>
      <c r="AT551" s="117">
        <v>0</v>
      </c>
      <c r="AU551" s="117">
        <v>0</v>
      </c>
      <c r="AV551" s="117">
        <v>0</v>
      </c>
      <c r="AW551" s="117">
        <v>0</v>
      </c>
      <c r="AX551" s="117">
        <v>0</v>
      </c>
      <c r="AY551" s="117">
        <v>0</v>
      </c>
      <c r="AZ551" s="117">
        <v>0</v>
      </c>
      <c r="BA551" s="117">
        <v>0</v>
      </c>
    </row>
    <row r="552" spans="1:53" s="138" customFormat="1" outlineLevel="2" x14ac:dyDescent="0.25">
      <c r="A552" s="138" t="s">
        <v>1523</v>
      </c>
      <c r="B552" s="139" t="s">
        <v>1524</v>
      </c>
      <c r="C552" s="140" t="s">
        <v>1525</v>
      </c>
      <c r="D552" s="141"/>
      <c r="E552" s="142"/>
      <c r="F552" s="143">
        <v>5374.61</v>
      </c>
      <c r="G552" s="143">
        <v>-11.67</v>
      </c>
      <c r="H552" s="144">
        <f>+F552-G552</f>
        <v>5386.28</v>
      </c>
      <c r="I552" s="145" t="str">
        <f>IF(G552&lt;0,IF(H552=0,0,IF(OR(G552=0,F552=0),"N.M.",IF(ABS(H552/G552)&gt;=10,"N.M.",H552/(-G552)))),IF(H552=0,0,IF(OR(G552=0,F552=0),"N.M.",IF(ABS(H552/G552)&gt;=10,"N.M.",H552/G552))))</f>
        <v>N.M.</v>
      </c>
      <c r="J552" s="146"/>
      <c r="K552" s="143">
        <v>10015.36</v>
      </c>
      <c r="L552" s="143">
        <v>144.19</v>
      </c>
      <c r="M552" s="144">
        <f>+K552-L552</f>
        <v>9871.17</v>
      </c>
      <c r="N552" s="145" t="str">
        <f>IF(L552&lt;0,IF(M552=0,0,IF(OR(L552=0,K552=0),"N.M.",IF(ABS(M552/L552)&gt;=10,"N.M.",M552/(-L552)))),IF(M552=0,0,IF(OR(L552=0,K552=0),"N.M.",IF(ABS(M552/L552)&gt;=10,"N.M.",M552/L552))))</f>
        <v>N.M.</v>
      </c>
      <c r="O552" s="147"/>
      <c r="P552" s="146"/>
      <c r="Q552" s="143">
        <v>8966.27</v>
      </c>
      <c r="R552" s="143">
        <v>113.8</v>
      </c>
      <c r="S552" s="144">
        <f>+Q552-R552</f>
        <v>8852.4700000000012</v>
      </c>
      <c r="T552" s="145" t="str">
        <f>IF(R552&lt;0,IF(S552=0,0,IF(OR(R552=0,Q552=0),"N.M.",IF(ABS(S552/R552)&gt;=10,"N.M.",S552/(-R552)))),IF(S552=0,0,IF(OR(R552=0,Q552=0),"N.M.",IF(ABS(S552/R552)&gt;=10,"N.M.",S552/R552))))</f>
        <v>N.M.</v>
      </c>
      <c r="U552" s="146"/>
      <c r="V552" s="143">
        <v>18349.419999999998</v>
      </c>
      <c r="W552" s="143">
        <v>8972.5500000000011</v>
      </c>
      <c r="X552" s="144">
        <f>+V552-W552</f>
        <v>9376.8699999999972</v>
      </c>
      <c r="Y552" s="145">
        <f>IF(W552&lt;0,IF(X552=0,0,IF(OR(W552=0,V552=0),"N.M.",IF(ABS(X552/W552)&gt;=10,"N.M.",X552/(-W552)))),IF(X552=0,0,IF(OR(W552=0,V552=0),"N.M.",IF(ABS(X552/W552)&gt;=10,"N.M.",X552/W552))))</f>
        <v>1.045061883188168</v>
      </c>
      <c r="Z552" s="148"/>
      <c r="AA552" s="149">
        <v>-30.39</v>
      </c>
      <c r="AB552" s="150"/>
      <c r="AC552" s="117">
        <v>155.86000000000001</v>
      </c>
      <c r="AD552" s="117">
        <v>-11.67</v>
      </c>
      <c r="AE552" s="117">
        <v>211.06</v>
      </c>
      <c r="AF552" s="117">
        <v>599.25</v>
      </c>
      <c r="AG552" s="117">
        <v>1009.85</v>
      </c>
      <c r="AH552" s="117">
        <v>-0.76</v>
      </c>
      <c r="AI552" s="117">
        <v>726.38</v>
      </c>
      <c r="AJ552" s="117">
        <v>5032.9000000000005</v>
      </c>
      <c r="AK552" s="117">
        <v>1946.38</v>
      </c>
      <c r="AL552" s="117">
        <v>71.48</v>
      </c>
      <c r="AM552" s="117">
        <v>-213.39000000000001</v>
      </c>
      <c r="AN552" s="117">
        <v>-1049.0899999999999</v>
      </c>
      <c r="AO552" s="150"/>
      <c r="AP552" s="117">
        <v>4640.75</v>
      </c>
      <c r="AQ552" s="117">
        <v>5374.61</v>
      </c>
      <c r="AR552" s="117">
        <v>20556.62</v>
      </c>
      <c r="AS552" s="117">
        <v>0</v>
      </c>
      <c r="AT552" s="117">
        <v>0</v>
      </c>
      <c r="AU552" s="117">
        <v>0</v>
      </c>
      <c r="AV552" s="117">
        <v>0</v>
      </c>
      <c r="AW552" s="117">
        <v>0</v>
      </c>
      <c r="AX552" s="117">
        <v>0</v>
      </c>
      <c r="AY552" s="117">
        <v>0</v>
      </c>
      <c r="AZ552" s="117">
        <v>0</v>
      </c>
      <c r="BA552" s="117">
        <v>0</v>
      </c>
    </row>
    <row r="553" spans="1:53" s="244" customFormat="1" x14ac:dyDescent="0.25">
      <c r="A553" s="211" t="s">
        <v>1526</v>
      </c>
      <c r="B553" s="212" t="s">
        <v>1527</v>
      </c>
      <c r="C553" s="238" t="s">
        <v>1528</v>
      </c>
      <c r="D553" s="246"/>
      <c r="E553" s="246"/>
      <c r="F553" s="215">
        <v>7273.21</v>
      </c>
      <c r="G553" s="215">
        <v>2002.84</v>
      </c>
      <c r="H553" s="236">
        <f>+F553-G553</f>
        <v>5270.37</v>
      </c>
      <c r="I553" s="237">
        <f>IF(G553&lt;0,IF(H553=0,0,IF(OR(G553=0,F553=0),"N.M.",IF(ABS(H553/G553)&gt;=10,"N.M.",H553/(-G553)))),IF(H553=0,0,IF(OR(G553=0,F553=0),"N.M.",IF(ABS(H553/G553)&gt;=10,"N.M.",H553/G553))))</f>
        <v>2.6314483433524396</v>
      </c>
      <c r="J553" s="242"/>
      <c r="K553" s="215">
        <v>13849.67</v>
      </c>
      <c r="L553" s="215">
        <v>3794.21</v>
      </c>
      <c r="M553" s="236">
        <f>+K553-L553</f>
        <v>10055.459999999999</v>
      </c>
      <c r="N553" s="237">
        <f>IF(L553&lt;0,IF(M553=0,0,IF(OR(L553=0,K553=0),"N.M.",IF(ABS(M553/L553)&gt;=10,"N.M.",M553/(-L553)))),IF(M553=0,0,IF(OR(L553=0,K553=0),"N.M.",IF(ABS(M553/L553)&gt;=10,"N.M.",M553/L553))))</f>
        <v>2.6502117700390855</v>
      </c>
      <c r="O553" s="282"/>
      <c r="P553" s="283"/>
      <c r="Q553" s="215">
        <v>15176.050000000001</v>
      </c>
      <c r="R553" s="215">
        <v>4608.1499999999996</v>
      </c>
      <c r="S553" s="236">
        <f>+Q553-R553</f>
        <v>10567.900000000001</v>
      </c>
      <c r="T553" s="237">
        <f>IF(R553&lt;0,IF(S553=0,0,IF(OR(R553=0,Q553=0),"N.M.",IF(ABS(S553/R553)&gt;=10,"N.M.",S553/(-R553)))),IF(S553=0,0,IF(OR(R553=0,Q553=0),"N.M.",IF(ABS(S553/R553)&gt;=10,"N.M.",S553/R553))))</f>
        <v>2.2933064244870507</v>
      </c>
      <c r="U553" s="283"/>
      <c r="V553" s="215">
        <v>48607.45</v>
      </c>
      <c r="W553" s="215">
        <v>99236.44</v>
      </c>
      <c r="X553" s="236">
        <f>+V553-W553</f>
        <v>-50628.990000000005</v>
      </c>
      <c r="Y553" s="232">
        <f>IF(W553&lt;0,IF(X553=0,0,IF(OR(W553=0,V553=0),"N.M.",IF(ABS(X553/W553)&gt;=10,"N.M.",X553/(-W553)))),IF(X553=0,0,IF(OR(W553=0,V553=0),"N.M.",IF(ABS(X553/W553)&gt;=10,"N.M.",X553/W553))))</f>
        <v>-0.51018547219146515</v>
      </c>
      <c r="AA553" s="215">
        <v>813.94</v>
      </c>
      <c r="AB553" s="245"/>
      <c r="AC553" s="215">
        <v>1791.37</v>
      </c>
      <c r="AD553" s="215">
        <v>2002.84</v>
      </c>
      <c r="AE553" s="215">
        <v>-3927.06</v>
      </c>
      <c r="AF553" s="215">
        <v>2459.0100000000002</v>
      </c>
      <c r="AG553" s="215">
        <v>2636.52</v>
      </c>
      <c r="AH553" s="215">
        <v>1382</v>
      </c>
      <c r="AI553" s="215">
        <v>2362.5300000000002</v>
      </c>
      <c r="AJ553" s="215">
        <v>4847.2400000000007</v>
      </c>
      <c r="AK553" s="215">
        <v>3582.29</v>
      </c>
      <c r="AL553" s="215">
        <v>1916.1200000000001</v>
      </c>
      <c r="AM553" s="215">
        <v>18172.75</v>
      </c>
      <c r="AN553" s="215">
        <v>1326.3800000000003</v>
      </c>
      <c r="AO553" s="245"/>
      <c r="AP553" s="215">
        <v>6576.46</v>
      </c>
      <c r="AQ553" s="215">
        <v>7273.21</v>
      </c>
      <c r="AR553" s="215">
        <v>20556.62</v>
      </c>
      <c r="AS553" s="215">
        <v>0</v>
      </c>
      <c r="AT553" s="215">
        <v>0</v>
      </c>
      <c r="AU553" s="215">
        <v>0</v>
      </c>
      <c r="AV553" s="215">
        <v>0</v>
      </c>
      <c r="AW553" s="215">
        <v>0</v>
      </c>
      <c r="AX553" s="215">
        <v>0</v>
      </c>
      <c r="AY553" s="215">
        <v>0</v>
      </c>
      <c r="AZ553" s="215">
        <v>0</v>
      </c>
      <c r="BA553" s="215">
        <v>0</v>
      </c>
    </row>
    <row r="554" spans="1:53" s="244" customFormat="1" ht="0.75" customHeight="1" outlineLevel="2" x14ac:dyDescent="0.25">
      <c r="A554" s="211"/>
      <c r="B554" s="212"/>
      <c r="C554" s="238"/>
      <c r="D554" s="246"/>
      <c r="E554" s="246"/>
      <c r="F554" s="215"/>
      <c r="G554" s="215"/>
      <c r="H554" s="236"/>
      <c r="I554" s="237"/>
      <c r="J554" s="242"/>
      <c r="K554" s="215"/>
      <c r="L554" s="215"/>
      <c r="M554" s="236"/>
      <c r="N554" s="237"/>
      <c r="O554" s="282"/>
      <c r="P554" s="283"/>
      <c r="Q554" s="215"/>
      <c r="R554" s="215"/>
      <c r="S554" s="236"/>
      <c r="T554" s="237"/>
      <c r="U554" s="283"/>
      <c r="V554" s="215"/>
      <c r="W554" s="215"/>
      <c r="X554" s="236"/>
      <c r="Y554" s="232"/>
      <c r="AA554" s="215"/>
      <c r="AB554" s="245"/>
      <c r="AC554" s="215"/>
      <c r="AD554" s="215"/>
      <c r="AE554" s="215"/>
      <c r="AF554" s="215"/>
      <c r="AG554" s="215"/>
      <c r="AH554" s="215"/>
      <c r="AI554" s="215"/>
      <c r="AJ554" s="215"/>
      <c r="AK554" s="215"/>
      <c r="AL554" s="215"/>
      <c r="AM554" s="215"/>
      <c r="AN554" s="215"/>
      <c r="AO554" s="245"/>
      <c r="AP554" s="215"/>
      <c r="AQ554" s="215"/>
      <c r="AR554" s="215"/>
      <c r="AS554" s="215"/>
      <c r="AT554" s="215"/>
      <c r="AU554" s="215"/>
      <c r="AV554" s="215"/>
      <c r="AW554" s="215"/>
      <c r="AX554" s="215"/>
      <c r="AY554" s="215"/>
      <c r="AZ554" s="215"/>
      <c r="BA554" s="215"/>
    </row>
    <row r="555" spans="1:53" s="138" customFormat="1" outlineLevel="2" x14ac:dyDescent="0.25">
      <c r="A555" s="138" t="s">
        <v>1529</v>
      </c>
      <c r="B555" s="139" t="s">
        <v>1530</v>
      </c>
      <c r="C555" s="140" t="s">
        <v>1531</v>
      </c>
      <c r="D555" s="141"/>
      <c r="E555" s="142"/>
      <c r="F555" s="143">
        <v>81160.37</v>
      </c>
      <c r="G555" s="143">
        <v>138547.54999999999</v>
      </c>
      <c r="H555" s="144">
        <f>+F555-G555</f>
        <v>-57387.179999999993</v>
      </c>
      <c r="I555" s="145">
        <f>IF(G555&lt;0,IF(H555=0,0,IF(OR(G555=0,F555=0),"N.M.",IF(ABS(H555/G555)&gt;=10,"N.M.",H555/(-G555)))),IF(H555=0,0,IF(OR(G555=0,F555=0),"N.M.",IF(ABS(H555/G555)&gt;=10,"N.M.",H555/G555))))</f>
        <v>-0.4142056644090783</v>
      </c>
      <c r="J555" s="146"/>
      <c r="K555" s="143">
        <v>127782.66</v>
      </c>
      <c r="L555" s="143">
        <v>247821.5</v>
      </c>
      <c r="M555" s="144">
        <f>+K555-L555</f>
        <v>-120038.84</v>
      </c>
      <c r="N555" s="145">
        <f>IF(L555&lt;0,IF(M555=0,0,IF(OR(L555=0,K555=0),"N.M.",IF(ABS(M555/L555)&gt;=10,"N.M.",M555/(-L555)))),IF(M555=0,0,IF(OR(L555=0,K555=0),"N.M.",IF(ABS(M555/L555)&gt;=10,"N.M.",M555/L555))))</f>
        <v>-0.48437621433168632</v>
      </c>
      <c r="O555" s="147"/>
      <c r="P555" s="146"/>
      <c r="Q555" s="143">
        <v>156036.57</v>
      </c>
      <c r="R555" s="143">
        <v>410780.27</v>
      </c>
      <c r="S555" s="144">
        <f>+Q555-R555</f>
        <v>-254743.7</v>
      </c>
      <c r="T555" s="145">
        <f>IF(R555&lt;0,IF(S555=0,0,IF(OR(R555=0,Q555=0),"N.M.",IF(ABS(S555/R555)&gt;=10,"N.M.",S555/(-R555)))),IF(S555=0,0,IF(OR(R555=0,Q555=0),"N.M.",IF(ABS(S555/R555)&gt;=10,"N.M.",S555/R555))))</f>
        <v>-0.62014589941235498</v>
      </c>
      <c r="U555" s="146"/>
      <c r="V555" s="143">
        <v>732424.22000000009</v>
      </c>
      <c r="W555" s="143">
        <v>1391203.11</v>
      </c>
      <c r="X555" s="144">
        <f>+V555-W555</f>
        <v>-658778.89</v>
      </c>
      <c r="Y555" s="145">
        <f>IF(W555&lt;0,IF(X555=0,0,IF(OR(W555=0,V555=0),"N.M.",IF(ABS(X555/W555)&gt;=10,"N.M.",X555/(-W555)))),IF(X555=0,0,IF(OR(W555=0,V555=0),"N.M.",IF(ABS(X555/W555)&gt;=10,"N.M.",X555/W555))))</f>
        <v>-0.47353178357975345</v>
      </c>
      <c r="Z555" s="148"/>
      <c r="AA555" s="149">
        <v>162958.76999999999</v>
      </c>
      <c r="AB555" s="150"/>
      <c r="AC555" s="117">
        <v>109273.95</v>
      </c>
      <c r="AD555" s="117">
        <v>138547.54999999999</v>
      </c>
      <c r="AE555" s="117">
        <v>157210.98000000001</v>
      </c>
      <c r="AF555" s="117">
        <v>105865.36</v>
      </c>
      <c r="AG555" s="117">
        <v>143105.01999999999</v>
      </c>
      <c r="AH555" s="117">
        <v>32581.65</v>
      </c>
      <c r="AI555" s="117">
        <v>3131.4300000000003</v>
      </c>
      <c r="AJ555" s="117">
        <v>3145.4500000000003</v>
      </c>
      <c r="AK555" s="117">
        <v>50133.8</v>
      </c>
      <c r="AL555" s="117">
        <v>39976.75</v>
      </c>
      <c r="AM555" s="117">
        <v>41237.21</v>
      </c>
      <c r="AN555" s="117">
        <v>28253.91</v>
      </c>
      <c r="AO555" s="150"/>
      <c r="AP555" s="117">
        <v>46622.29</v>
      </c>
      <c r="AQ555" s="117">
        <v>81160.37</v>
      </c>
      <c r="AR555" s="117">
        <v>0</v>
      </c>
      <c r="AS555" s="117">
        <v>0</v>
      </c>
      <c r="AT555" s="117">
        <v>0</v>
      </c>
      <c r="AU555" s="117">
        <v>0</v>
      </c>
      <c r="AV555" s="117">
        <v>0</v>
      </c>
      <c r="AW555" s="117">
        <v>0</v>
      </c>
      <c r="AX555" s="117">
        <v>0</v>
      </c>
      <c r="AY555" s="117">
        <v>0</v>
      </c>
      <c r="AZ555" s="117">
        <v>0</v>
      </c>
      <c r="BA555" s="117">
        <v>0</v>
      </c>
    </row>
    <row r="556" spans="1:53" s="244" customFormat="1" x14ac:dyDescent="0.25">
      <c r="A556" s="211" t="s">
        <v>1532</v>
      </c>
      <c r="B556" s="212" t="s">
        <v>1533</v>
      </c>
      <c r="C556" s="238" t="s">
        <v>1534</v>
      </c>
      <c r="D556" s="246"/>
      <c r="E556" s="246"/>
      <c r="F556" s="215">
        <v>81160.37</v>
      </c>
      <c r="G556" s="215">
        <v>138547.54999999999</v>
      </c>
      <c r="H556" s="236">
        <f>+F556-G556</f>
        <v>-57387.179999999993</v>
      </c>
      <c r="I556" s="237">
        <f>IF(G556&lt;0,IF(H556=0,0,IF(OR(G556=0,F556=0),"N.M.",IF(ABS(H556/G556)&gt;=10,"N.M.",H556/(-G556)))),IF(H556=0,0,IF(OR(G556=0,F556=0),"N.M.",IF(ABS(H556/G556)&gt;=10,"N.M.",H556/G556))))</f>
        <v>-0.4142056644090783</v>
      </c>
      <c r="J556" s="242"/>
      <c r="K556" s="215">
        <v>127782.66</v>
      </c>
      <c r="L556" s="215">
        <v>247821.5</v>
      </c>
      <c r="M556" s="236">
        <f>+K556-L556</f>
        <v>-120038.84</v>
      </c>
      <c r="N556" s="237">
        <f>IF(L556&lt;0,IF(M556=0,0,IF(OR(L556=0,K556=0),"N.M.",IF(ABS(M556/L556)&gt;=10,"N.M.",M556/(-L556)))),IF(M556=0,0,IF(OR(L556=0,K556=0),"N.M.",IF(ABS(M556/L556)&gt;=10,"N.M.",M556/L556))))</f>
        <v>-0.48437621433168632</v>
      </c>
      <c r="O556" s="282"/>
      <c r="P556" s="283"/>
      <c r="Q556" s="215">
        <v>156036.57</v>
      </c>
      <c r="R556" s="215">
        <v>410780.27</v>
      </c>
      <c r="S556" s="236">
        <f>+Q556-R556</f>
        <v>-254743.7</v>
      </c>
      <c r="T556" s="237">
        <f>IF(R556&lt;0,IF(S556=0,0,IF(OR(R556=0,Q556=0),"N.M.",IF(ABS(S556/R556)&gt;=10,"N.M.",S556/(-R556)))),IF(S556=0,0,IF(OR(R556=0,Q556=0),"N.M.",IF(ABS(S556/R556)&gt;=10,"N.M.",S556/R556))))</f>
        <v>-0.62014589941235498</v>
      </c>
      <c r="U556" s="283"/>
      <c r="V556" s="215">
        <v>732424.22000000009</v>
      </c>
      <c r="W556" s="215">
        <v>1391203.11</v>
      </c>
      <c r="X556" s="236">
        <f>+V556-W556</f>
        <v>-658778.89</v>
      </c>
      <c r="Y556" s="232">
        <f>IF(W556&lt;0,IF(X556=0,0,IF(OR(W556=0,V556=0),"N.M.",IF(ABS(X556/W556)&gt;=10,"N.M.",X556/(-W556)))),IF(X556=0,0,IF(OR(W556=0,V556=0),"N.M.",IF(ABS(X556/W556)&gt;=10,"N.M.",X556/W556))))</f>
        <v>-0.47353178357975345</v>
      </c>
      <c r="AA556" s="215">
        <v>162958.76999999999</v>
      </c>
      <c r="AB556" s="245"/>
      <c r="AC556" s="215">
        <v>109273.95</v>
      </c>
      <c r="AD556" s="215">
        <v>138547.54999999999</v>
      </c>
      <c r="AE556" s="215">
        <v>157210.98000000001</v>
      </c>
      <c r="AF556" s="215">
        <v>105865.36</v>
      </c>
      <c r="AG556" s="215">
        <v>143105.01999999999</v>
      </c>
      <c r="AH556" s="215">
        <v>32581.65</v>
      </c>
      <c r="AI556" s="215">
        <v>3131.4300000000003</v>
      </c>
      <c r="AJ556" s="215">
        <v>3145.4500000000003</v>
      </c>
      <c r="AK556" s="215">
        <v>50133.8</v>
      </c>
      <c r="AL556" s="215">
        <v>39976.75</v>
      </c>
      <c r="AM556" s="215">
        <v>41237.21</v>
      </c>
      <c r="AN556" s="215">
        <v>28253.91</v>
      </c>
      <c r="AO556" s="245"/>
      <c r="AP556" s="215">
        <v>46622.29</v>
      </c>
      <c r="AQ556" s="215">
        <v>81160.37</v>
      </c>
      <c r="AR556" s="215">
        <v>0</v>
      </c>
      <c r="AS556" s="215">
        <v>0</v>
      </c>
      <c r="AT556" s="215">
        <v>0</v>
      </c>
      <c r="AU556" s="215">
        <v>0</v>
      </c>
      <c r="AV556" s="215">
        <v>0</v>
      </c>
      <c r="AW556" s="215">
        <v>0</v>
      </c>
      <c r="AX556" s="215">
        <v>0</v>
      </c>
      <c r="AY556" s="215">
        <v>0</v>
      </c>
      <c r="AZ556" s="215">
        <v>0</v>
      </c>
      <c r="BA556" s="215">
        <v>0</v>
      </c>
    </row>
    <row r="557" spans="1:53" s="244" customFormat="1" ht="0.75" customHeight="1" outlineLevel="2" x14ac:dyDescent="0.25">
      <c r="A557" s="211"/>
      <c r="B557" s="212"/>
      <c r="C557" s="238"/>
      <c r="D557" s="246"/>
      <c r="E557" s="246"/>
      <c r="F557" s="215"/>
      <c r="G557" s="215"/>
      <c r="H557" s="236"/>
      <c r="I557" s="237"/>
      <c r="J557" s="242"/>
      <c r="K557" s="215"/>
      <c r="L557" s="215"/>
      <c r="M557" s="236"/>
      <c r="N557" s="237"/>
      <c r="O557" s="282"/>
      <c r="P557" s="283"/>
      <c r="Q557" s="215"/>
      <c r="R557" s="215"/>
      <c r="S557" s="236"/>
      <c r="T557" s="237"/>
      <c r="U557" s="283"/>
      <c r="V557" s="215"/>
      <c r="W557" s="215"/>
      <c r="X557" s="236"/>
      <c r="Y557" s="232"/>
      <c r="AA557" s="215"/>
      <c r="AB557" s="245"/>
      <c r="AC557" s="215"/>
      <c r="AD557" s="215"/>
      <c r="AE557" s="215"/>
      <c r="AF557" s="215"/>
      <c r="AG557" s="215"/>
      <c r="AH557" s="215"/>
      <c r="AI557" s="215"/>
      <c r="AJ557" s="215"/>
      <c r="AK557" s="215"/>
      <c r="AL557" s="215"/>
      <c r="AM557" s="215"/>
      <c r="AN557" s="215"/>
      <c r="AO557" s="245"/>
      <c r="AP557" s="215"/>
      <c r="AQ557" s="215"/>
      <c r="AR557" s="215"/>
      <c r="AS557" s="215"/>
      <c r="AT557" s="215"/>
      <c r="AU557" s="215"/>
      <c r="AV557" s="215"/>
      <c r="AW557" s="215"/>
      <c r="AX557" s="215"/>
      <c r="AY557" s="215"/>
      <c r="AZ557" s="215"/>
      <c r="BA557" s="215"/>
    </row>
    <row r="558" spans="1:53" s="138" customFormat="1" outlineLevel="2" x14ac:dyDescent="0.25">
      <c r="A558" s="138" t="s">
        <v>1535</v>
      </c>
      <c r="B558" s="139" t="s">
        <v>1536</v>
      </c>
      <c r="C558" s="140" t="s">
        <v>1537</v>
      </c>
      <c r="D558" s="141"/>
      <c r="E558" s="142"/>
      <c r="F558" s="143">
        <v>126.41</v>
      </c>
      <c r="G558" s="143">
        <v>132.12</v>
      </c>
      <c r="H558" s="144">
        <f t="shared" ref="H558:H564" si="162">+F558-G558</f>
        <v>-5.710000000000008</v>
      </c>
      <c r="I558" s="145">
        <f t="shared" ref="I558:I564" si="163">IF(G558&lt;0,IF(H558=0,0,IF(OR(G558=0,F558=0),"N.M.",IF(ABS(H558/G558)&gt;=10,"N.M.",H558/(-G558)))),IF(H558=0,0,IF(OR(G558=0,F558=0),"N.M.",IF(ABS(H558/G558)&gt;=10,"N.M.",H558/G558))))</f>
        <v>-4.3218286406297365E-2</v>
      </c>
      <c r="J558" s="146"/>
      <c r="K558" s="143">
        <v>253.6</v>
      </c>
      <c r="L558" s="143">
        <v>364.24</v>
      </c>
      <c r="M558" s="144">
        <f t="shared" ref="M558:M564" si="164">+K558-L558</f>
        <v>-110.64000000000001</v>
      </c>
      <c r="N558" s="145">
        <f t="shared" ref="N558:N564" si="165">IF(L558&lt;0,IF(M558=0,0,IF(OR(L558=0,K558=0),"N.M.",IF(ABS(M558/L558)&gt;=10,"N.M.",M558/(-L558)))),IF(M558=0,0,IF(OR(L558=0,K558=0),"N.M.",IF(ABS(M558/L558)&gt;=10,"N.M.",M558/L558))))</f>
        <v>-0.30375576542938726</v>
      </c>
      <c r="O558" s="147"/>
      <c r="P558" s="146"/>
      <c r="Q558" s="143">
        <v>380.93</v>
      </c>
      <c r="R558" s="143">
        <v>495.1</v>
      </c>
      <c r="S558" s="144">
        <f t="shared" ref="S558:S564" si="166">+Q558-R558</f>
        <v>-114.17000000000002</v>
      </c>
      <c r="T558" s="145">
        <f t="shared" ref="T558:T564" si="167">IF(R558&lt;0,IF(S558=0,0,IF(OR(R558=0,Q558=0),"N.M.",IF(ABS(S558/R558)&gt;=10,"N.M.",S558/(-R558)))),IF(S558=0,0,IF(OR(R558=0,Q558=0),"N.M.",IF(ABS(S558/R558)&gt;=10,"N.M.",S558/R558))))</f>
        <v>-0.23059987881236116</v>
      </c>
      <c r="U558" s="146"/>
      <c r="V558" s="143">
        <v>1894.36</v>
      </c>
      <c r="W558" s="143">
        <v>1816.53</v>
      </c>
      <c r="X558" s="144">
        <f t="shared" ref="X558:X564" si="168">+V558-W558</f>
        <v>77.829999999999927</v>
      </c>
      <c r="Y558" s="145">
        <f t="shared" ref="Y558:Y564" si="169">IF(W558&lt;0,IF(X558=0,0,IF(OR(W558=0,V558=0),"N.M.",IF(ABS(X558/W558)&gt;=10,"N.M.",X558/(-W558)))),IF(X558=0,0,IF(OR(W558=0,V558=0),"N.M.",IF(ABS(X558/W558)&gt;=10,"N.M.",X558/W558))))</f>
        <v>4.284542506867485E-2</v>
      </c>
      <c r="Z558" s="148"/>
      <c r="AA558" s="149">
        <v>130.86000000000001</v>
      </c>
      <c r="AB558" s="150"/>
      <c r="AC558" s="117">
        <v>232.12</v>
      </c>
      <c r="AD558" s="117">
        <v>132.12</v>
      </c>
      <c r="AE558" s="117">
        <v>252.12</v>
      </c>
      <c r="AF558" s="117">
        <v>256.23</v>
      </c>
      <c r="AG558" s="117">
        <v>131.22999999999999</v>
      </c>
      <c r="AH558" s="117">
        <v>231.23000000000002</v>
      </c>
      <c r="AI558" s="117">
        <v>129.32</v>
      </c>
      <c r="AJ558" s="117">
        <v>129.32</v>
      </c>
      <c r="AK558" s="117">
        <v>129.32</v>
      </c>
      <c r="AL558" s="117">
        <v>127.33</v>
      </c>
      <c r="AM558" s="117">
        <v>127.33</v>
      </c>
      <c r="AN558" s="117">
        <v>127.33</v>
      </c>
      <c r="AO558" s="150"/>
      <c r="AP558" s="117">
        <v>127.19</v>
      </c>
      <c r="AQ558" s="117">
        <v>126.41</v>
      </c>
      <c r="AR558" s="117">
        <v>0</v>
      </c>
      <c r="AS558" s="117">
        <v>0</v>
      </c>
      <c r="AT558" s="117">
        <v>0</v>
      </c>
      <c r="AU558" s="117">
        <v>0</v>
      </c>
      <c r="AV558" s="117">
        <v>0</v>
      </c>
      <c r="AW558" s="117">
        <v>0</v>
      </c>
      <c r="AX558" s="117">
        <v>0</v>
      </c>
      <c r="AY558" s="117">
        <v>0</v>
      </c>
      <c r="AZ558" s="117">
        <v>0</v>
      </c>
      <c r="BA558" s="117">
        <v>0</v>
      </c>
    </row>
    <row r="559" spans="1:53" s="138" customFormat="1" outlineLevel="2" x14ac:dyDescent="0.25">
      <c r="A559" s="138" t="s">
        <v>1538</v>
      </c>
      <c r="B559" s="139" t="s">
        <v>1539</v>
      </c>
      <c r="C559" s="140" t="s">
        <v>1540</v>
      </c>
      <c r="D559" s="141"/>
      <c r="E559" s="142"/>
      <c r="F559" s="143">
        <v>3017.66</v>
      </c>
      <c r="G559" s="143">
        <v>492.81</v>
      </c>
      <c r="H559" s="144">
        <f t="shared" si="162"/>
        <v>2524.85</v>
      </c>
      <c r="I559" s="145">
        <f t="shared" si="163"/>
        <v>5.1233741198433469</v>
      </c>
      <c r="J559" s="146"/>
      <c r="K559" s="143">
        <v>3017.66</v>
      </c>
      <c r="L559" s="143">
        <v>1441.74</v>
      </c>
      <c r="M559" s="144">
        <f t="shared" si="164"/>
        <v>1575.9199999999998</v>
      </c>
      <c r="N559" s="145">
        <f t="shared" si="165"/>
        <v>1.0930680982701457</v>
      </c>
      <c r="O559" s="147"/>
      <c r="P559" s="146"/>
      <c r="Q559" s="143">
        <v>3017.66</v>
      </c>
      <c r="R559" s="143">
        <v>1507.62</v>
      </c>
      <c r="S559" s="144">
        <f t="shared" si="166"/>
        <v>1510.04</v>
      </c>
      <c r="T559" s="145">
        <f t="shared" si="167"/>
        <v>1.001605179023892</v>
      </c>
      <c r="U559" s="146"/>
      <c r="V559" s="143">
        <v>12118.67</v>
      </c>
      <c r="W559" s="143">
        <v>1507.62</v>
      </c>
      <c r="X559" s="144">
        <f t="shared" si="168"/>
        <v>10611.05</v>
      </c>
      <c r="Y559" s="145">
        <f t="shared" si="169"/>
        <v>7.0382788766400024</v>
      </c>
      <c r="Z559" s="148"/>
      <c r="AA559" s="149">
        <v>65.88</v>
      </c>
      <c r="AB559" s="150"/>
      <c r="AC559" s="117">
        <v>948.93000000000006</v>
      </c>
      <c r="AD559" s="117">
        <v>492.81</v>
      </c>
      <c r="AE559" s="117">
        <v>1471.8</v>
      </c>
      <c r="AF559" s="117">
        <v>1631.3400000000001</v>
      </c>
      <c r="AG559" s="117">
        <v>0</v>
      </c>
      <c r="AH559" s="117">
        <v>0</v>
      </c>
      <c r="AI559" s="117">
        <v>0</v>
      </c>
      <c r="AJ559" s="117">
        <v>1597.17</v>
      </c>
      <c r="AK559" s="117">
        <v>1727.76</v>
      </c>
      <c r="AL559" s="117">
        <v>0</v>
      </c>
      <c r="AM559" s="117">
        <v>2672.94</v>
      </c>
      <c r="AN559" s="117">
        <v>0</v>
      </c>
      <c r="AO559" s="150"/>
      <c r="AP559" s="117">
        <v>0</v>
      </c>
      <c r="AQ559" s="117">
        <v>3017.66</v>
      </c>
      <c r="AR559" s="117">
        <v>0</v>
      </c>
      <c r="AS559" s="117">
        <v>0</v>
      </c>
      <c r="AT559" s="117">
        <v>0</v>
      </c>
      <c r="AU559" s="117">
        <v>0</v>
      </c>
      <c r="AV559" s="117">
        <v>0</v>
      </c>
      <c r="AW559" s="117">
        <v>0</v>
      </c>
      <c r="AX559" s="117">
        <v>0</v>
      </c>
      <c r="AY559" s="117">
        <v>0</v>
      </c>
      <c r="AZ559" s="117">
        <v>0</v>
      </c>
      <c r="BA559" s="117">
        <v>0</v>
      </c>
    </row>
    <row r="560" spans="1:53" s="138" customFormat="1" outlineLevel="2" x14ac:dyDescent="0.25">
      <c r="A560" s="138" t="s">
        <v>1541</v>
      </c>
      <c r="B560" s="139" t="s">
        <v>1542</v>
      </c>
      <c r="C560" s="140" t="s">
        <v>1543</v>
      </c>
      <c r="D560" s="141"/>
      <c r="E560" s="142"/>
      <c r="F560" s="143">
        <v>36036.550000000003</v>
      </c>
      <c r="G560" s="143">
        <v>36039.25</v>
      </c>
      <c r="H560" s="144">
        <f t="shared" si="162"/>
        <v>-2.6999999999970896</v>
      </c>
      <c r="I560" s="145">
        <f t="shared" si="163"/>
        <v>-7.491831822241278E-5</v>
      </c>
      <c r="J560" s="146"/>
      <c r="K560" s="143">
        <v>72074.98</v>
      </c>
      <c r="L560" s="143">
        <v>72076.84</v>
      </c>
      <c r="M560" s="144">
        <f t="shared" si="164"/>
        <v>-1.8600000000005821</v>
      </c>
      <c r="N560" s="145">
        <f t="shared" si="165"/>
        <v>-2.5805792817784216E-5</v>
      </c>
      <c r="O560" s="147"/>
      <c r="P560" s="146"/>
      <c r="Q560" s="143">
        <v>108113.41</v>
      </c>
      <c r="R560" s="143">
        <v>108112.76999999999</v>
      </c>
      <c r="S560" s="144">
        <f t="shared" si="166"/>
        <v>0.64000000001396984</v>
      </c>
      <c r="T560" s="145">
        <f t="shared" si="167"/>
        <v>5.9197447259372773E-6</v>
      </c>
      <c r="U560" s="146"/>
      <c r="V560" s="143">
        <v>432498.86</v>
      </c>
      <c r="W560" s="143">
        <v>432490.61</v>
      </c>
      <c r="X560" s="144">
        <f t="shared" si="168"/>
        <v>8.25</v>
      </c>
      <c r="Y560" s="145">
        <f t="shared" si="169"/>
        <v>1.9075558657793751E-5</v>
      </c>
      <c r="Z560" s="148"/>
      <c r="AA560" s="149">
        <v>36035.93</v>
      </c>
      <c r="AB560" s="150"/>
      <c r="AC560" s="117">
        <v>36037.590000000004</v>
      </c>
      <c r="AD560" s="117">
        <v>36039.25</v>
      </c>
      <c r="AE560" s="117">
        <v>36043.75</v>
      </c>
      <c r="AF560" s="117">
        <v>36055.31</v>
      </c>
      <c r="AG560" s="117">
        <v>36040.43</v>
      </c>
      <c r="AH560" s="117">
        <v>36039.43</v>
      </c>
      <c r="AI560" s="117">
        <v>36038.43</v>
      </c>
      <c r="AJ560" s="117">
        <v>36039.93</v>
      </c>
      <c r="AK560" s="117">
        <v>36051.31</v>
      </c>
      <c r="AL560" s="117">
        <v>36038.43</v>
      </c>
      <c r="AM560" s="117">
        <v>36038.43</v>
      </c>
      <c r="AN560" s="117">
        <v>36038.43</v>
      </c>
      <c r="AO560" s="150"/>
      <c r="AP560" s="117">
        <v>36038.43</v>
      </c>
      <c r="AQ560" s="117">
        <v>36036.550000000003</v>
      </c>
      <c r="AR560" s="117">
        <v>21.77</v>
      </c>
      <c r="AS560" s="117">
        <v>0</v>
      </c>
      <c r="AT560" s="117">
        <v>0</v>
      </c>
      <c r="AU560" s="117">
        <v>0</v>
      </c>
      <c r="AV560" s="117">
        <v>0</v>
      </c>
      <c r="AW560" s="117">
        <v>0</v>
      </c>
      <c r="AX560" s="117">
        <v>0</v>
      </c>
      <c r="AY560" s="117">
        <v>0</v>
      </c>
      <c r="AZ560" s="117">
        <v>0</v>
      </c>
      <c r="BA560" s="117">
        <v>0</v>
      </c>
    </row>
    <row r="561" spans="1:53" s="138" customFormat="1" outlineLevel="2" x14ac:dyDescent="0.25">
      <c r="A561" s="138" t="s">
        <v>1544</v>
      </c>
      <c r="B561" s="139" t="s">
        <v>1545</v>
      </c>
      <c r="C561" s="140" t="s">
        <v>1546</v>
      </c>
      <c r="D561" s="141"/>
      <c r="E561" s="142"/>
      <c r="F561" s="143">
        <v>131.94</v>
      </c>
      <c r="G561" s="143">
        <v>-428.29</v>
      </c>
      <c r="H561" s="144">
        <f t="shared" si="162"/>
        <v>560.23</v>
      </c>
      <c r="I561" s="145">
        <f t="shared" si="163"/>
        <v>1.3080622942398841</v>
      </c>
      <c r="J561" s="146"/>
      <c r="K561" s="143">
        <v>-788.37</v>
      </c>
      <c r="L561" s="143">
        <v>-1324.18</v>
      </c>
      <c r="M561" s="144">
        <f t="shared" si="164"/>
        <v>535.81000000000006</v>
      </c>
      <c r="N561" s="145">
        <f t="shared" si="165"/>
        <v>0.40463532148197379</v>
      </c>
      <c r="O561" s="147"/>
      <c r="P561" s="146"/>
      <c r="Q561" s="143">
        <v>-1158.55</v>
      </c>
      <c r="R561" s="143">
        <v>-1787.5500000000002</v>
      </c>
      <c r="S561" s="144">
        <f t="shared" si="166"/>
        <v>629.00000000000023</v>
      </c>
      <c r="T561" s="145">
        <f t="shared" si="167"/>
        <v>0.35187826913932485</v>
      </c>
      <c r="U561" s="146"/>
      <c r="V561" s="143">
        <v>-3488.7999999999997</v>
      </c>
      <c r="W561" s="143">
        <v>-7432.93</v>
      </c>
      <c r="X561" s="144">
        <f t="shared" si="168"/>
        <v>3944.1300000000006</v>
      </c>
      <c r="Y561" s="145">
        <f t="shared" si="169"/>
        <v>0.53062924042066861</v>
      </c>
      <c r="Z561" s="148"/>
      <c r="AA561" s="149">
        <v>-463.37</v>
      </c>
      <c r="AB561" s="150"/>
      <c r="AC561" s="117">
        <v>-895.89</v>
      </c>
      <c r="AD561" s="117">
        <v>-428.29</v>
      </c>
      <c r="AE561" s="117">
        <v>-453.29</v>
      </c>
      <c r="AF561" s="117">
        <v>149.22</v>
      </c>
      <c r="AG561" s="117">
        <v>-273.03000000000003</v>
      </c>
      <c r="AH561" s="117">
        <v>-541.95000000000005</v>
      </c>
      <c r="AI561" s="117">
        <v>-586.45000000000005</v>
      </c>
      <c r="AJ561" s="117">
        <v>-212.24</v>
      </c>
      <c r="AK561" s="117">
        <v>189.77</v>
      </c>
      <c r="AL561" s="117">
        <v>-623.94000000000005</v>
      </c>
      <c r="AM561" s="117">
        <v>21.66</v>
      </c>
      <c r="AN561" s="117">
        <v>-370.18</v>
      </c>
      <c r="AO561" s="150"/>
      <c r="AP561" s="117">
        <v>-920.31000000000006</v>
      </c>
      <c r="AQ561" s="117">
        <v>131.94</v>
      </c>
      <c r="AR561" s="117">
        <v>0</v>
      </c>
      <c r="AS561" s="117">
        <v>0</v>
      </c>
      <c r="AT561" s="117">
        <v>0</v>
      </c>
      <c r="AU561" s="117">
        <v>0</v>
      </c>
      <c r="AV561" s="117">
        <v>0</v>
      </c>
      <c r="AW561" s="117">
        <v>0</v>
      </c>
      <c r="AX561" s="117">
        <v>0</v>
      </c>
      <c r="AY561" s="117">
        <v>0</v>
      </c>
      <c r="AZ561" s="117">
        <v>0</v>
      </c>
      <c r="BA561" s="117">
        <v>0</v>
      </c>
    </row>
    <row r="562" spans="1:53" s="138" customFormat="1" outlineLevel="2" x14ac:dyDescent="0.25">
      <c r="A562" s="138" t="s">
        <v>1547</v>
      </c>
      <c r="B562" s="139" t="s">
        <v>1548</v>
      </c>
      <c r="C562" s="140" t="s">
        <v>1549</v>
      </c>
      <c r="D562" s="141"/>
      <c r="E562" s="142"/>
      <c r="F562" s="143">
        <v>0</v>
      </c>
      <c r="G562" s="143">
        <v>-745.42</v>
      </c>
      <c r="H562" s="144">
        <f t="shared" si="162"/>
        <v>745.42</v>
      </c>
      <c r="I562" s="145" t="str">
        <f t="shared" si="163"/>
        <v>N.M.</v>
      </c>
      <c r="J562" s="146"/>
      <c r="K562" s="143">
        <v>0</v>
      </c>
      <c r="L562" s="143">
        <v>-745.42</v>
      </c>
      <c r="M562" s="144">
        <f t="shared" si="164"/>
        <v>745.42</v>
      </c>
      <c r="N562" s="145" t="str">
        <f t="shared" si="165"/>
        <v>N.M.</v>
      </c>
      <c r="O562" s="147"/>
      <c r="P562" s="146"/>
      <c r="Q562" s="143">
        <v>0</v>
      </c>
      <c r="R562" s="143">
        <v>-745.42</v>
      </c>
      <c r="S562" s="144">
        <f t="shared" si="166"/>
        <v>745.42</v>
      </c>
      <c r="T562" s="145" t="str">
        <f t="shared" si="167"/>
        <v>N.M.</v>
      </c>
      <c r="U562" s="146"/>
      <c r="V562" s="143">
        <v>0</v>
      </c>
      <c r="W562" s="143">
        <v>-745.42</v>
      </c>
      <c r="X562" s="144">
        <f t="shared" si="168"/>
        <v>745.42</v>
      </c>
      <c r="Y562" s="145" t="str">
        <f t="shared" si="169"/>
        <v>N.M.</v>
      </c>
      <c r="Z562" s="148"/>
      <c r="AA562" s="149">
        <v>0</v>
      </c>
      <c r="AB562" s="150"/>
      <c r="AC562" s="117">
        <v>0</v>
      </c>
      <c r="AD562" s="117">
        <v>-745.42</v>
      </c>
      <c r="AE562" s="117">
        <v>0</v>
      </c>
      <c r="AF562" s="117">
        <v>0</v>
      </c>
      <c r="AG562" s="117">
        <v>0</v>
      </c>
      <c r="AH562" s="117">
        <v>0</v>
      </c>
      <c r="AI562" s="117">
        <v>0</v>
      </c>
      <c r="AJ562" s="117">
        <v>0</v>
      </c>
      <c r="AK562" s="117">
        <v>0</v>
      </c>
      <c r="AL562" s="117">
        <v>0</v>
      </c>
      <c r="AM562" s="117">
        <v>0</v>
      </c>
      <c r="AN562" s="117">
        <v>0</v>
      </c>
      <c r="AO562" s="150"/>
      <c r="AP562" s="117">
        <v>0</v>
      </c>
      <c r="AQ562" s="117">
        <v>0</v>
      </c>
      <c r="AR562" s="117">
        <v>0</v>
      </c>
      <c r="AS562" s="117">
        <v>0</v>
      </c>
      <c r="AT562" s="117">
        <v>0</v>
      </c>
      <c r="AU562" s="117">
        <v>0</v>
      </c>
      <c r="AV562" s="117">
        <v>0</v>
      </c>
      <c r="AW562" s="117">
        <v>0</v>
      </c>
      <c r="AX562" s="117">
        <v>0</v>
      </c>
      <c r="AY562" s="117">
        <v>0</v>
      </c>
      <c r="AZ562" s="117">
        <v>0</v>
      </c>
      <c r="BA562" s="117">
        <v>0</v>
      </c>
    </row>
    <row r="563" spans="1:53" s="138" customFormat="1" outlineLevel="2" x14ac:dyDescent="0.25">
      <c r="A563" s="138" t="s">
        <v>1550</v>
      </c>
      <c r="B563" s="139" t="s">
        <v>1551</v>
      </c>
      <c r="C563" s="140" t="s">
        <v>1552</v>
      </c>
      <c r="D563" s="141"/>
      <c r="E563" s="142"/>
      <c r="F563" s="143">
        <v>295954.8</v>
      </c>
      <c r="G563" s="143">
        <v>93832</v>
      </c>
      <c r="H563" s="144">
        <f t="shared" si="162"/>
        <v>202122.8</v>
      </c>
      <c r="I563" s="145">
        <f t="shared" si="163"/>
        <v>2.1540924204962058</v>
      </c>
      <c r="J563" s="146"/>
      <c r="K563" s="143">
        <v>279101.77</v>
      </c>
      <c r="L563" s="143">
        <v>-249116.2</v>
      </c>
      <c r="M563" s="144">
        <f t="shared" si="164"/>
        <v>528217.97</v>
      </c>
      <c r="N563" s="145">
        <f t="shared" si="165"/>
        <v>2.1203678042616256</v>
      </c>
      <c r="O563" s="147"/>
      <c r="P563" s="146"/>
      <c r="Q563" s="143">
        <v>-216118.52999999997</v>
      </c>
      <c r="R563" s="143">
        <v>-689763.59000000008</v>
      </c>
      <c r="S563" s="144">
        <f t="shared" si="166"/>
        <v>473645.06000000011</v>
      </c>
      <c r="T563" s="145">
        <f t="shared" si="167"/>
        <v>0.68667738753795349</v>
      </c>
      <c r="U563" s="146"/>
      <c r="V563" s="143">
        <v>551632.68000000005</v>
      </c>
      <c r="W563" s="143">
        <v>2107127.46</v>
      </c>
      <c r="X563" s="144">
        <f t="shared" si="168"/>
        <v>-1555494.7799999998</v>
      </c>
      <c r="Y563" s="145">
        <f t="shared" si="169"/>
        <v>-0.73820630670343967</v>
      </c>
      <c r="Z563" s="148"/>
      <c r="AA563" s="149">
        <v>-440647.39</v>
      </c>
      <c r="AB563" s="150"/>
      <c r="AC563" s="117">
        <v>-342948.2</v>
      </c>
      <c r="AD563" s="117">
        <v>93832</v>
      </c>
      <c r="AE563" s="117">
        <v>173637.95</v>
      </c>
      <c r="AF563" s="117">
        <v>458734.86</v>
      </c>
      <c r="AG563" s="117">
        <v>391519.59</v>
      </c>
      <c r="AH563" s="117">
        <v>-413969.05</v>
      </c>
      <c r="AI563" s="117">
        <v>-558607.44000000006</v>
      </c>
      <c r="AJ563" s="117">
        <v>-430883.88</v>
      </c>
      <c r="AK563" s="117">
        <v>344625.03</v>
      </c>
      <c r="AL563" s="117">
        <v>638719.6</v>
      </c>
      <c r="AM563" s="117">
        <v>163974.55000000002</v>
      </c>
      <c r="AN563" s="117">
        <v>-495220.3</v>
      </c>
      <c r="AO563" s="150"/>
      <c r="AP563" s="117">
        <v>-16853.03</v>
      </c>
      <c r="AQ563" s="117">
        <v>295954.8</v>
      </c>
      <c r="AR563" s="117">
        <v>-1934080.9</v>
      </c>
      <c r="AS563" s="117">
        <v>105469.32</v>
      </c>
      <c r="AT563" s="117">
        <v>0</v>
      </c>
      <c r="AU563" s="117">
        <v>0</v>
      </c>
      <c r="AV563" s="117">
        <v>0</v>
      </c>
      <c r="AW563" s="117">
        <v>0</v>
      </c>
      <c r="AX563" s="117">
        <v>0</v>
      </c>
      <c r="AY563" s="117">
        <v>0</v>
      </c>
      <c r="AZ563" s="117">
        <v>0</v>
      </c>
      <c r="BA563" s="117">
        <v>0</v>
      </c>
    </row>
    <row r="564" spans="1:53" s="244" customFormat="1" x14ac:dyDescent="0.25">
      <c r="A564" s="211" t="s">
        <v>1553</v>
      </c>
      <c r="B564" s="212" t="s">
        <v>1554</v>
      </c>
      <c r="C564" s="238" t="s">
        <v>1555</v>
      </c>
      <c r="D564" s="246"/>
      <c r="E564" s="246"/>
      <c r="F564" s="215">
        <v>335267.36</v>
      </c>
      <c r="G564" s="215">
        <v>129322.47</v>
      </c>
      <c r="H564" s="236">
        <f t="shared" si="162"/>
        <v>205944.88999999998</v>
      </c>
      <c r="I564" s="237">
        <f t="shared" si="163"/>
        <v>1.5924911579557672</v>
      </c>
      <c r="J564" s="242"/>
      <c r="K564" s="215">
        <v>353659.64</v>
      </c>
      <c r="L564" s="215">
        <v>-177302.98</v>
      </c>
      <c r="M564" s="236">
        <f t="shared" si="164"/>
        <v>530962.62</v>
      </c>
      <c r="N564" s="237">
        <f t="shared" si="165"/>
        <v>2.9946626954606175</v>
      </c>
      <c r="O564" s="282"/>
      <c r="P564" s="283"/>
      <c r="Q564" s="215">
        <v>-105765.08000000002</v>
      </c>
      <c r="R564" s="215">
        <v>-582181.07000000007</v>
      </c>
      <c r="S564" s="236">
        <f t="shared" si="166"/>
        <v>476415.99000000005</v>
      </c>
      <c r="T564" s="237">
        <f t="shared" si="167"/>
        <v>0.81832957914622684</v>
      </c>
      <c r="U564" s="283"/>
      <c r="V564" s="215">
        <v>994655.77000000014</v>
      </c>
      <c r="W564" s="215">
        <v>2534763.87</v>
      </c>
      <c r="X564" s="236">
        <f t="shared" si="168"/>
        <v>-1540108.1</v>
      </c>
      <c r="Y564" s="232">
        <f t="shared" si="169"/>
        <v>-0.60759430818303406</v>
      </c>
      <c r="AA564" s="215">
        <v>-404878.09</v>
      </c>
      <c r="AB564" s="245"/>
      <c r="AC564" s="215">
        <v>-306625.45</v>
      </c>
      <c r="AD564" s="215">
        <v>129322.47</v>
      </c>
      <c r="AE564" s="215">
        <v>210952.33000000002</v>
      </c>
      <c r="AF564" s="215">
        <v>496826.95999999996</v>
      </c>
      <c r="AG564" s="215">
        <v>427418.22000000003</v>
      </c>
      <c r="AH564" s="215">
        <v>-378240.33999999997</v>
      </c>
      <c r="AI564" s="215">
        <v>-523026.14000000007</v>
      </c>
      <c r="AJ564" s="215">
        <v>-393329.7</v>
      </c>
      <c r="AK564" s="215">
        <v>382723.19</v>
      </c>
      <c r="AL564" s="215">
        <v>674261.41999999993</v>
      </c>
      <c r="AM564" s="215">
        <v>202834.91000000003</v>
      </c>
      <c r="AN564" s="215">
        <v>-459424.72</v>
      </c>
      <c r="AO564" s="245"/>
      <c r="AP564" s="215">
        <v>18392.280000000006</v>
      </c>
      <c r="AQ564" s="215">
        <v>335267.36</v>
      </c>
      <c r="AR564" s="215">
        <v>-1934059.13</v>
      </c>
      <c r="AS564" s="215">
        <v>105469.32</v>
      </c>
      <c r="AT564" s="215">
        <v>0</v>
      </c>
      <c r="AU564" s="215">
        <v>0</v>
      </c>
      <c r="AV564" s="215">
        <v>0</v>
      </c>
      <c r="AW564" s="215">
        <v>0</v>
      </c>
      <c r="AX564" s="215">
        <v>0</v>
      </c>
      <c r="AY564" s="215">
        <v>0</v>
      </c>
      <c r="AZ564" s="215">
        <v>0</v>
      </c>
      <c r="BA564" s="215">
        <v>0</v>
      </c>
    </row>
    <row r="565" spans="1:53" s="244" customFormat="1" ht="0.75" customHeight="1" outlineLevel="2" x14ac:dyDescent="0.25">
      <c r="A565" s="211"/>
      <c r="B565" s="212"/>
      <c r="C565" s="238"/>
      <c r="D565" s="246"/>
      <c r="E565" s="246"/>
      <c r="F565" s="215"/>
      <c r="G565" s="215"/>
      <c r="H565" s="236"/>
      <c r="I565" s="237"/>
      <c r="J565" s="242"/>
      <c r="K565" s="215"/>
      <c r="L565" s="215"/>
      <c r="M565" s="236"/>
      <c r="N565" s="237"/>
      <c r="O565" s="282"/>
      <c r="P565" s="283"/>
      <c r="Q565" s="215"/>
      <c r="R565" s="215"/>
      <c r="S565" s="236"/>
      <c r="T565" s="237"/>
      <c r="U565" s="283"/>
      <c r="V565" s="215"/>
      <c r="W565" s="215"/>
      <c r="X565" s="236"/>
      <c r="Y565" s="232"/>
      <c r="AA565" s="215"/>
      <c r="AB565" s="245"/>
      <c r="AC565" s="215"/>
      <c r="AD565" s="215"/>
      <c r="AE565" s="215"/>
      <c r="AF565" s="215"/>
      <c r="AG565" s="215"/>
      <c r="AH565" s="215"/>
      <c r="AI565" s="215"/>
      <c r="AJ565" s="215"/>
      <c r="AK565" s="215"/>
      <c r="AL565" s="215"/>
      <c r="AM565" s="215"/>
      <c r="AN565" s="215"/>
      <c r="AO565" s="245"/>
      <c r="AP565" s="215"/>
      <c r="AQ565" s="215"/>
      <c r="AR565" s="215"/>
      <c r="AS565" s="215"/>
      <c r="AT565" s="215"/>
      <c r="AU565" s="215"/>
      <c r="AV565" s="215"/>
      <c r="AW565" s="215"/>
      <c r="AX565" s="215"/>
      <c r="AY565" s="215"/>
      <c r="AZ565" s="215"/>
      <c r="BA565" s="215"/>
    </row>
    <row r="566" spans="1:53" s="244" customFormat="1" x14ac:dyDescent="0.25">
      <c r="A566" s="211" t="s">
        <v>1556</v>
      </c>
      <c r="B566" s="212" t="s">
        <v>1557</v>
      </c>
      <c r="C566" s="264" t="s">
        <v>1558</v>
      </c>
      <c r="D566" s="265"/>
      <c r="E566" s="265"/>
      <c r="F566" s="266">
        <v>0</v>
      </c>
      <c r="G566" s="266">
        <v>0</v>
      </c>
      <c r="H566" s="267">
        <f>+F566-G566</f>
        <v>0</v>
      </c>
      <c r="I566" s="268">
        <f>IF(G566&lt;0,IF(H566=0,0,IF(OR(G566=0,F566=0),"N.M.",IF(ABS(H566/G566)&gt;=10,"N.M.",H566/(-G566)))),IF(H566=0,0,IF(OR(G566=0,F566=0),"N.M.",IF(ABS(H566/G566)&gt;=10,"N.M.",H566/G566))))</f>
        <v>0</v>
      </c>
      <c r="J566" s="269"/>
      <c r="K566" s="266">
        <v>0</v>
      </c>
      <c r="L566" s="266">
        <v>0</v>
      </c>
      <c r="M566" s="267">
        <f>+K566-L566</f>
        <v>0</v>
      </c>
      <c r="N566" s="268">
        <f>IF(L566&lt;0,IF(M566=0,0,IF(OR(L566=0,K566=0),"N.M.",IF(ABS(M566/L566)&gt;=10,"N.M.",M566/(-L566)))),IF(M566=0,0,IF(OR(L566=0,K566=0),"N.M.",IF(ABS(M566/L566)&gt;=10,"N.M.",M566/L566))))</f>
        <v>0</v>
      </c>
      <c r="O566" s="270"/>
      <c r="P566" s="271"/>
      <c r="Q566" s="266">
        <v>0</v>
      </c>
      <c r="R566" s="266">
        <v>0</v>
      </c>
      <c r="S566" s="267">
        <f>+Q566-R566</f>
        <v>0</v>
      </c>
      <c r="T566" s="268">
        <f>IF(R566&lt;0,IF(S566=0,0,IF(OR(R566=0,Q566=0),"N.M.",IF(ABS(S566/R566)&gt;=10,"N.M.",S566/(-R566)))),IF(S566=0,0,IF(OR(R566=0,Q566=0),"N.M.",IF(ABS(S566/R566)&gt;=10,"N.M.",S566/R566))))</f>
        <v>0</v>
      </c>
      <c r="U566" s="271"/>
      <c r="V566" s="266">
        <v>0</v>
      </c>
      <c r="W566" s="266">
        <v>0</v>
      </c>
      <c r="X566" s="267">
        <f>+V566-W566</f>
        <v>0</v>
      </c>
      <c r="Y566" s="272">
        <f>IF(W566&lt;0,IF(X566=0,0,IF(OR(W566=0,V566=0),"N.M.",IF(ABS(X566/W566)&gt;=10,"N.M.",X566/(-W566)))),IF(X566=0,0,IF(OR(W566=0,V566=0),"N.M.",IF(ABS(X566/W566)&gt;=10,"N.M.",X566/W566))))</f>
        <v>0</v>
      </c>
      <c r="Z566" s="273"/>
      <c r="AA566" s="266">
        <v>0</v>
      </c>
      <c r="AB566" s="274"/>
      <c r="AC566" s="266">
        <v>0</v>
      </c>
      <c r="AD566" s="266">
        <v>0</v>
      </c>
      <c r="AE566" s="266">
        <v>0</v>
      </c>
      <c r="AF566" s="266">
        <v>0</v>
      </c>
      <c r="AG566" s="266">
        <v>0</v>
      </c>
      <c r="AH566" s="266">
        <v>0</v>
      </c>
      <c r="AI566" s="266">
        <v>0</v>
      </c>
      <c r="AJ566" s="266">
        <v>0</v>
      </c>
      <c r="AK566" s="266">
        <v>0</v>
      </c>
      <c r="AL566" s="266">
        <v>0</v>
      </c>
      <c r="AM566" s="266">
        <v>0</v>
      </c>
      <c r="AN566" s="266">
        <v>0</v>
      </c>
      <c r="AO566" s="274"/>
      <c r="AP566" s="266">
        <v>0</v>
      </c>
      <c r="AQ566" s="266">
        <v>0</v>
      </c>
      <c r="AR566" s="266">
        <v>0</v>
      </c>
      <c r="AS566" s="266">
        <v>0</v>
      </c>
      <c r="AT566" s="266">
        <v>0</v>
      </c>
      <c r="AU566" s="266">
        <v>0</v>
      </c>
      <c r="AV566" s="266">
        <v>0</v>
      </c>
      <c r="AW566" s="266">
        <v>0</v>
      </c>
      <c r="AX566" s="266">
        <v>0</v>
      </c>
      <c r="AY566" s="266">
        <v>0</v>
      </c>
      <c r="AZ566" s="266">
        <v>0</v>
      </c>
      <c r="BA566" s="266">
        <v>0</v>
      </c>
    </row>
    <row r="567" spans="1:53" s="244" customFormat="1" ht="0.75" customHeight="1" outlineLevel="2" x14ac:dyDescent="0.25">
      <c r="A567" s="211"/>
      <c r="B567" s="212"/>
      <c r="C567" s="238"/>
      <c r="D567" s="246"/>
      <c r="E567" s="246"/>
      <c r="F567" s="215"/>
      <c r="G567" s="215"/>
      <c r="H567" s="236"/>
      <c r="I567" s="237"/>
      <c r="J567" s="242"/>
      <c r="K567" s="215"/>
      <c r="L567" s="215"/>
      <c r="M567" s="236"/>
      <c r="N567" s="237"/>
      <c r="O567" s="282"/>
      <c r="P567" s="283"/>
      <c r="Q567" s="215"/>
      <c r="R567" s="215"/>
      <c r="S567" s="236"/>
      <c r="T567" s="237"/>
      <c r="U567" s="283"/>
      <c r="V567" s="215"/>
      <c r="W567" s="215"/>
      <c r="X567" s="236"/>
      <c r="Y567" s="232"/>
      <c r="AA567" s="215"/>
      <c r="AB567" s="245"/>
      <c r="AC567" s="215"/>
      <c r="AD567" s="215"/>
      <c r="AE567" s="215"/>
      <c r="AF567" s="215"/>
      <c r="AG567" s="215"/>
      <c r="AH567" s="215"/>
      <c r="AI567" s="215"/>
      <c r="AJ567" s="215"/>
      <c r="AK567" s="215"/>
      <c r="AL567" s="215"/>
      <c r="AM567" s="215"/>
      <c r="AN567" s="215"/>
      <c r="AO567" s="245"/>
      <c r="AP567" s="215"/>
      <c r="AQ567" s="215"/>
      <c r="AR567" s="215"/>
      <c r="AS567" s="215"/>
      <c r="AT567" s="215"/>
      <c r="AU567" s="215"/>
      <c r="AV567" s="215"/>
      <c r="AW567" s="215"/>
      <c r="AX567" s="215"/>
      <c r="AY567" s="215"/>
      <c r="AZ567" s="215"/>
      <c r="BA567" s="215"/>
    </row>
    <row r="568" spans="1:53" s="244" customFormat="1" x14ac:dyDescent="0.25">
      <c r="A568" s="211"/>
      <c r="B568" s="212" t="s">
        <v>1559</v>
      </c>
      <c r="C568" s="275" t="s">
        <v>1560</v>
      </c>
      <c r="D568" s="276"/>
      <c r="E568" s="276"/>
      <c r="F568" s="277">
        <f>SUM(F534,-F536,F539,-F542,F547,F549,F553,F556,F564,F566)</f>
        <v>441014.98</v>
      </c>
      <c r="G568" s="277">
        <f>SUM(G534,-G536,G539,-G542,G547,G549,G553,G556,G564,G566)</f>
        <v>271942.05</v>
      </c>
      <c r="H568" s="278">
        <f>+F568-G568</f>
        <v>169072.93</v>
      </c>
      <c r="I568" s="279">
        <f>IF(G568&lt;0,IF(H568=0,0,IF(OR(G568=0,F568=0),"N.M.",IF(ABS(H568/G568)&gt;=10,"N.M.",H568/(-G568)))),IF(H568=0,0,IF(OR(G568=0,F568=0),"N.M.",IF(ABS(H568/G568)&gt;=10,"N.M.",H568/G568))))</f>
        <v>0.62172411364847768</v>
      </c>
      <c r="J568" s="242"/>
      <c r="K568" s="277">
        <f>SUM(K534,-K536,K539,-K542,K547,K549,K553,K556,K564,K566)</f>
        <v>529757.22</v>
      </c>
      <c r="L568" s="277">
        <f>SUM(L534,-L536,L539,-L542,L547,L549,L553,L556,L564,L566)</f>
        <v>78451.109999999986</v>
      </c>
      <c r="M568" s="278">
        <f>+K568-L568</f>
        <v>451306.11</v>
      </c>
      <c r="N568" s="279">
        <f>IF(L568&lt;0,IF(M568=0,0,IF(OR(L568=0,K568=0),"N.M.",IF(ABS(M568/L568)&gt;=10,"N.M.",M568/(-L568)))),IF(M568=0,0,IF(OR(L568=0,K568=0),"N.M.",IF(ABS(M568/L568)&gt;=10,"N.M.",M568/L568))))</f>
        <v>5.7527052198496627</v>
      </c>
      <c r="O568" s="181"/>
      <c r="P568" s="263"/>
      <c r="Q568" s="277">
        <f>SUM(Q534,-Q536,Q539,-Q542,Q547,Q549,Q553,Q556,Q564,Q566)</f>
        <v>215247.87999999995</v>
      </c>
      <c r="R568" s="277">
        <f>SUM(R534,-R536,R539,-R542,R547,R549,R553,R556,R564,R566)</f>
        <v>-160585.08000000007</v>
      </c>
      <c r="S568" s="278">
        <f>+Q568-R568</f>
        <v>375832.96</v>
      </c>
      <c r="T568" s="279">
        <f>IF(R568&lt;0,IF(S568=0,0,IF(OR(R568=0,Q568=0),"N.M.",IF(ABS(S568/R568)&gt;=10,"N.M.",S568/(-R568)))),IF(S568=0,0,IF(OR(R568=0,Q568=0),"N.M.",IF(ABS(S568/R568)&gt;=10,"N.M.",S568/R568))))</f>
        <v>2.340397750525764</v>
      </c>
      <c r="U568" s="263"/>
      <c r="V568" s="277">
        <f>SUM(V534,-V536,V539,-V542,V547,V549,V553,V556,V564,V566)</f>
        <v>1942807.0900000003</v>
      </c>
      <c r="W568" s="277">
        <f>SUM(W534,-W536,W539,-W542,W547,W549,W553,W556,W564,W566)</f>
        <v>4050458.7</v>
      </c>
      <c r="X568" s="278">
        <f>+V568-W568</f>
        <v>-2107651.61</v>
      </c>
      <c r="Y568" s="280">
        <f>IF(W568&lt;0,IF(X568=0,0,IF(OR(W568=0,V568=0),"N.M.",IF(ABS(X568/W568)&gt;=10,"N.M.",X568/(-W568)))),IF(X568=0,0,IF(OR(W568=0,V568=0),"N.M.",IF(ABS(X568/W568)&gt;=10,"N.M.",X568/W568))))</f>
        <v>-0.52034887061062984</v>
      </c>
      <c r="AA568" s="277">
        <f>SUM(AA534,-AA536,AA539,-AA542,AA547,AA549,AA553,AA556,AA564,AA566)</f>
        <v>-239036.19000000003</v>
      </c>
      <c r="AB568" s="245"/>
      <c r="AC568" s="277">
        <f t="shared" ref="AC568:AN568" si="170">SUM(AC534,-AC536,AC539,-AC542,AC547,AC549,AC553,AC556,AC564,AC566)</f>
        <v>-193490.94</v>
      </c>
      <c r="AD568" s="277">
        <f t="shared" si="170"/>
        <v>271942.05</v>
      </c>
      <c r="AE568" s="277">
        <f t="shared" si="170"/>
        <v>367305.44000000006</v>
      </c>
      <c r="AF568" s="277">
        <f t="shared" si="170"/>
        <v>607220.52</v>
      </c>
      <c r="AG568" s="277">
        <f t="shared" si="170"/>
        <v>575228.94999999995</v>
      </c>
      <c r="AH568" s="277">
        <f t="shared" si="170"/>
        <v>-342207.49999999994</v>
      </c>
      <c r="AI568" s="277">
        <f t="shared" si="170"/>
        <v>-515557.40000000008</v>
      </c>
      <c r="AJ568" s="277">
        <f t="shared" si="170"/>
        <v>-384748.25</v>
      </c>
      <c r="AK568" s="277">
        <f t="shared" si="170"/>
        <v>437781.29000000004</v>
      </c>
      <c r="AL568" s="277">
        <f t="shared" si="170"/>
        <v>718222.1</v>
      </c>
      <c r="AM568" s="277">
        <f t="shared" si="170"/>
        <v>264314.06000000006</v>
      </c>
      <c r="AN568" s="277">
        <f t="shared" si="170"/>
        <v>-314509.33999999997</v>
      </c>
      <c r="AO568" s="245"/>
      <c r="AP568" s="277">
        <f t="shared" ref="AP568:BA568" si="171">SUM(AP534,-AP536,AP539,-AP542,AP547,AP549,AP553,AP556,AP564,AP566)</f>
        <v>88742.239999999991</v>
      </c>
      <c r="AQ568" s="277">
        <f t="shared" si="171"/>
        <v>441014.98</v>
      </c>
      <c r="AR568" s="277">
        <f t="shared" si="171"/>
        <v>-1913102.5099999998</v>
      </c>
      <c r="AS568" s="277">
        <f t="shared" si="171"/>
        <v>105469.32</v>
      </c>
      <c r="AT568" s="277">
        <f t="shared" si="171"/>
        <v>0</v>
      </c>
      <c r="AU568" s="277">
        <f t="shared" si="171"/>
        <v>0</v>
      </c>
      <c r="AV568" s="277">
        <f t="shared" si="171"/>
        <v>0</v>
      </c>
      <c r="AW568" s="277">
        <f t="shared" si="171"/>
        <v>0</v>
      </c>
      <c r="AX568" s="277">
        <f t="shared" si="171"/>
        <v>0</v>
      </c>
      <c r="AY568" s="277">
        <f t="shared" si="171"/>
        <v>0</v>
      </c>
      <c r="AZ568" s="277">
        <f t="shared" si="171"/>
        <v>0</v>
      </c>
      <c r="BA568" s="277">
        <f t="shared" si="171"/>
        <v>0</v>
      </c>
    </row>
    <row r="569" spans="1:53" s="211" customFormat="1" x14ac:dyDescent="0.25">
      <c r="B569" s="212" t="s">
        <v>1561</v>
      </c>
      <c r="C569" s="222" t="s">
        <v>1562</v>
      </c>
      <c r="D569" s="223"/>
      <c r="E569" s="223"/>
      <c r="F569" s="224"/>
      <c r="G569" s="224"/>
      <c r="H569" s="224"/>
      <c r="I569" s="224"/>
      <c r="J569" s="225"/>
      <c r="K569" s="226"/>
      <c r="L569" s="226"/>
      <c r="M569" s="226"/>
      <c r="N569" s="227"/>
      <c r="O569" s="224"/>
      <c r="P569" s="225"/>
      <c r="Q569" s="224"/>
      <c r="R569" s="224"/>
      <c r="S569" s="224"/>
      <c r="T569" s="224"/>
      <c r="U569" s="225"/>
      <c r="V569" s="224"/>
      <c r="W569" s="224"/>
      <c r="X569" s="224"/>
      <c r="Y569" s="224"/>
      <c r="Z569" s="224"/>
      <c r="AA569" s="226"/>
      <c r="AB569" s="228"/>
      <c r="AC569" s="226"/>
      <c r="AD569" s="226"/>
      <c r="AE569" s="226"/>
      <c r="AF569" s="226"/>
      <c r="AG569" s="226"/>
      <c r="AH569" s="226"/>
      <c r="AI569" s="226"/>
      <c r="AJ569" s="226"/>
      <c r="AK569" s="226"/>
      <c r="AL569" s="226"/>
      <c r="AM569" s="226"/>
      <c r="AN569" s="226"/>
      <c r="AO569" s="228"/>
      <c r="AP569" s="226"/>
      <c r="AQ569" s="226"/>
      <c r="AR569" s="226"/>
      <c r="AS569" s="226"/>
      <c r="AT569" s="226"/>
      <c r="AU569" s="226"/>
      <c r="AV569" s="226"/>
      <c r="AW569" s="226"/>
      <c r="AX569" s="226"/>
      <c r="AY569" s="226"/>
      <c r="AZ569" s="226"/>
      <c r="BA569" s="226"/>
    </row>
    <row r="570" spans="1:53" s="244" customFormat="1" outlineLevel="2" x14ac:dyDescent="0.25">
      <c r="A570" s="211"/>
      <c r="B570" s="212"/>
      <c r="C570" s="286"/>
      <c r="D570" s="287"/>
      <c r="E570" s="287"/>
      <c r="F570" s="288"/>
      <c r="G570" s="288"/>
      <c r="H570" s="288"/>
      <c r="I570" s="289"/>
      <c r="J570" s="242"/>
      <c r="K570" s="288"/>
      <c r="L570" s="288"/>
      <c r="M570" s="288"/>
      <c r="N570" s="289"/>
      <c r="O570" s="290"/>
      <c r="P570" s="291"/>
      <c r="Q570" s="288"/>
      <c r="R570" s="288"/>
      <c r="S570" s="288"/>
      <c r="T570" s="289"/>
      <c r="U570" s="291"/>
      <c r="V570" s="288"/>
      <c r="W570" s="288"/>
      <c r="X570" s="288"/>
      <c r="Y570" s="292"/>
      <c r="AA570" s="288"/>
      <c r="AB570" s="245"/>
      <c r="AC570" s="288"/>
      <c r="AD570" s="288"/>
      <c r="AE570" s="288"/>
      <c r="AF570" s="288"/>
      <c r="AG570" s="288"/>
      <c r="AH570" s="288"/>
      <c r="AI570" s="288"/>
      <c r="AJ570" s="288"/>
      <c r="AK570" s="288"/>
      <c r="AL570" s="288"/>
      <c r="AM570" s="288"/>
      <c r="AN570" s="288"/>
      <c r="AO570" s="245"/>
      <c r="AP570" s="288"/>
      <c r="AQ570" s="288"/>
      <c r="AR570" s="288"/>
      <c r="AS570" s="288"/>
      <c r="AT570" s="288"/>
      <c r="AU570" s="288"/>
      <c r="AV570" s="288"/>
      <c r="AW570" s="288"/>
      <c r="AX570" s="288"/>
      <c r="AY570" s="288"/>
      <c r="AZ570" s="288"/>
      <c r="BA570" s="288"/>
    </row>
    <row r="571" spans="1:53" s="138" customFormat="1" outlineLevel="2" x14ac:dyDescent="0.25">
      <c r="A571" s="138" t="s">
        <v>1563</v>
      </c>
      <c r="B571" s="139" t="s">
        <v>1564</v>
      </c>
      <c r="C571" s="140" t="s">
        <v>1565</v>
      </c>
      <c r="D571" s="141"/>
      <c r="E571" s="142"/>
      <c r="F571" s="143">
        <v>0</v>
      </c>
      <c r="G571" s="143">
        <v>0</v>
      </c>
      <c r="H571" s="144">
        <f>+F571-G571</f>
        <v>0</v>
      </c>
      <c r="I571" s="145">
        <f>IF(G571&lt;0,IF(H571=0,0,IF(OR(G571=0,F571=0),"N.M.",IF(ABS(H571/G571)&gt;=10,"N.M.",H571/(-G571)))),IF(H571=0,0,IF(OR(G571=0,F571=0),"N.M.",IF(ABS(H571/G571)&gt;=10,"N.M.",H571/G571))))</f>
        <v>0</v>
      </c>
      <c r="J571" s="146"/>
      <c r="K571" s="143">
        <v>0</v>
      </c>
      <c r="L571" s="143">
        <v>0</v>
      </c>
      <c r="M571" s="144">
        <f>+K571-L571</f>
        <v>0</v>
      </c>
      <c r="N571" s="145">
        <f>IF(L571&lt;0,IF(M571=0,0,IF(OR(L571=0,K571=0),"N.M.",IF(ABS(M571/L571)&gt;=10,"N.M.",M571/(-L571)))),IF(M571=0,0,IF(OR(L571=0,K571=0),"N.M.",IF(ABS(M571/L571)&gt;=10,"N.M.",M571/L571))))</f>
        <v>0</v>
      </c>
      <c r="O571" s="147"/>
      <c r="P571" s="146"/>
      <c r="Q571" s="143">
        <v>0</v>
      </c>
      <c r="R571" s="143">
        <v>0</v>
      </c>
      <c r="S571" s="144">
        <f>+Q571-R571</f>
        <v>0</v>
      </c>
      <c r="T571" s="145">
        <f>IF(R571&lt;0,IF(S571=0,0,IF(OR(R571=0,Q571=0),"N.M.",IF(ABS(S571/R571)&gt;=10,"N.M.",S571/(-R571)))),IF(S571=0,0,IF(OR(R571=0,Q571=0),"N.M.",IF(ABS(S571/R571)&gt;=10,"N.M.",S571/R571))))</f>
        <v>0</v>
      </c>
      <c r="U571" s="146"/>
      <c r="V571" s="143">
        <v>0</v>
      </c>
      <c r="W571" s="143">
        <v>152820.18</v>
      </c>
      <c r="X571" s="144">
        <f>+V571-W571</f>
        <v>-152820.18</v>
      </c>
      <c r="Y571" s="145" t="str">
        <f>IF(W571&lt;0,IF(X571=0,0,IF(OR(W571=0,V571=0),"N.M.",IF(ABS(X571/W571)&gt;=10,"N.M.",X571/(-W571)))),IF(X571=0,0,IF(OR(W571=0,V571=0),"N.M.",IF(ABS(X571/W571)&gt;=10,"N.M.",X571/W571))))</f>
        <v>N.M.</v>
      </c>
      <c r="Z571" s="148"/>
      <c r="AA571" s="149">
        <v>0</v>
      </c>
      <c r="AB571" s="150"/>
      <c r="AC571" s="117">
        <v>0</v>
      </c>
      <c r="AD571" s="117">
        <v>0</v>
      </c>
      <c r="AE571" s="117">
        <v>0</v>
      </c>
      <c r="AF571" s="117">
        <v>0</v>
      </c>
      <c r="AG571" s="117">
        <v>0</v>
      </c>
      <c r="AH571" s="117">
        <v>0</v>
      </c>
      <c r="AI571" s="117">
        <v>0</v>
      </c>
      <c r="AJ571" s="117">
        <v>0</v>
      </c>
      <c r="AK571" s="117">
        <v>0</v>
      </c>
      <c r="AL571" s="117">
        <v>0</v>
      </c>
      <c r="AM571" s="117">
        <v>0</v>
      </c>
      <c r="AN571" s="117">
        <v>0</v>
      </c>
      <c r="AO571" s="150"/>
      <c r="AP571" s="117">
        <v>0</v>
      </c>
      <c r="AQ571" s="117">
        <v>0</v>
      </c>
      <c r="AR571" s="117">
        <v>0</v>
      </c>
      <c r="AS571" s="117">
        <v>0</v>
      </c>
      <c r="AT571" s="117">
        <v>0</v>
      </c>
      <c r="AU571" s="117">
        <v>0</v>
      </c>
      <c r="AV571" s="117">
        <v>0</v>
      </c>
      <c r="AW571" s="117">
        <v>0</v>
      </c>
      <c r="AX571" s="117">
        <v>0</v>
      </c>
      <c r="AY571" s="117">
        <v>0</v>
      </c>
      <c r="AZ571" s="117">
        <v>0</v>
      </c>
      <c r="BA571" s="117">
        <v>0</v>
      </c>
    </row>
    <row r="572" spans="1:53" s="244" customFormat="1" x14ac:dyDescent="0.25">
      <c r="A572" s="211" t="s">
        <v>1566</v>
      </c>
      <c r="B572" s="212" t="s">
        <v>1567</v>
      </c>
      <c r="C572" s="238" t="s">
        <v>1568</v>
      </c>
      <c r="D572" s="246"/>
      <c r="E572" s="246"/>
      <c r="F572" s="215">
        <v>0</v>
      </c>
      <c r="G572" s="215">
        <v>0</v>
      </c>
      <c r="H572" s="236">
        <f>+F572-G572</f>
        <v>0</v>
      </c>
      <c r="I572" s="237">
        <f>IF(G572&lt;0,IF(H572=0,0,IF(OR(G572=0,F572=0),"N.M.",IF(ABS(H572/G572)&gt;=10,"N.M.",H572/(-G572)))),IF(H572=0,0,IF(OR(G572=0,F572=0),"N.M.",IF(ABS(H572/G572)&gt;=10,"N.M.",H572/G572))))</f>
        <v>0</v>
      </c>
      <c r="J572" s="242"/>
      <c r="K572" s="215">
        <v>0</v>
      </c>
      <c r="L572" s="215">
        <v>0</v>
      </c>
      <c r="M572" s="236">
        <f>+K572-L572</f>
        <v>0</v>
      </c>
      <c r="N572" s="237">
        <f>IF(L572&lt;0,IF(M572=0,0,IF(OR(L572=0,K572=0),"N.M.",IF(ABS(M572/L572)&gt;=10,"N.M.",M572/(-L572)))),IF(M572=0,0,IF(OR(L572=0,K572=0),"N.M.",IF(ABS(M572/L572)&gt;=10,"N.M.",M572/L572))))</f>
        <v>0</v>
      </c>
      <c r="O572" s="282"/>
      <c r="P572" s="283"/>
      <c r="Q572" s="215">
        <v>0</v>
      </c>
      <c r="R572" s="215">
        <v>0</v>
      </c>
      <c r="S572" s="236">
        <f>+Q572-R572</f>
        <v>0</v>
      </c>
      <c r="T572" s="237">
        <f>IF(R572&lt;0,IF(S572=0,0,IF(OR(R572=0,Q572=0),"N.M.",IF(ABS(S572/R572)&gt;=10,"N.M.",S572/(-R572)))),IF(S572=0,0,IF(OR(R572=0,Q572=0),"N.M.",IF(ABS(S572/R572)&gt;=10,"N.M.",S572/R572))))</f>
        <v>0</v>
      </c>
      <c r="U572" s="283"/>
      <c r="V572" s="215">
        <v>0</v>
      </c>
      <c r="W572" s="215">
        <v>152820.18</v>
      </c>
      <c r="X572" s="236">
        <f>+V572-W572</f>
        <v>-152820.18</v>
      </c>
      <c r="Y572" s="232" t="str">
        <f>IF(W572&lt;0,IF(X572=0,0,IF(OR(W572=0,V572=0),"N.M.",IF(ABS(X572/W572)&gt;=10,"N.M.",X572/(-W572)))),IF(X572=0,0,IF(OR(W572=0,V572=0),"N.M.",IF(ABS(X572/W572)&gt;=10,"N.M.",X572/W572))))</f>
        <v>N.M.</v>
      </c>
      <c r="AA572" s="215">
        <v>0</v>
      </c>
      <c r="AB572" s="245"/>
      <c r="AC572" s="215">
        <v>0</v>
      </c>
      <c r="AD572" s="215">
        <v>0</v>
      </c>
      <c r="AE572" s="215">
        <v>0</v>
      </c>
      <c r="AF572" s="215">
        <v>0</v>
      </c>
      <c r="AG572" s="215">
        <v>0</v>
      </c>
      <c r="AH572" s="215">
        <v>0</v>
      </c>
      <c r="AI572" s="215">
        <v>0</v>
      </c>
      <c r="AJ572" s="215">
        <v>0</v>
      </c>
      <c r="AK572" s="215">
        <v>0</v>
      </c>
      <c r="AL572" s="215">
        <v>0</v>
      </c>
      <c r="AM572" s="215">
        <v>0</v>
      </c>
      <c r="AN572" s="215">
        <v>0</v>
      </c>
      <c r="AO572" s="245"/>
      <c r="AP572" s="215">
        <v>0</v>
      </c>
      <c r="AQ572" s="215">
        <v>0</v>
      </c>
      <c r="AR572" s="215">
        <v>0</v>
      </c>
      <c r="AS572" s="215">
        <v>0</v>
      </c>
      <c r="AT572" s="215">
        <v>0</v>
      </c>
      <c r="AU572" s="215">
        <v>0</v>
      </c>
      <c r="AV572" s="215">
        <v>0</v>
      </c>
      <c r="AW572" s="215">
        <v>0</v>
      </c>
      <c r="AX572" s="215">
        <v>0</v>
      </c>
      <c r="AY572" s="215">
        <v>0</v>
      </c>
      <c r="AZ572" s="215">
        <v>0</v>
      </c>
      <c r="BA572" s="215">
        <v>0</v>
      </c>
    </row>
    <row r="573" spans="1:53" s="244" customFormat="1" ht="0.75" customHeight="1" outlineLevel="2" x14ac:dyDescent="0.25">
      <c r="A573" s="211"/>
      <c r="B573" s="212"/>
      <c r="C573" s="238"/>
      <c r="D573" s="246"/>
      <c r="E573" s="246"/>
      <c r="F573" s="215"/>
      <c r="G573" s="215"/>
      <c r="H573" s="236"/>
      <c r="I573" s="237"/>
      <c r="J573" s="242"/>
      <c r="K573" s="215"/>
      <c r="L573" s="215"/>
      <c r="M573" s="236"/>
      <c r="N573" s="237"/>
      <c r="O573" s="282"/>
      <c r="P573" s="283"/>
      <c r="Q573" s="215"/>
      <c r="R573" s="215"/>
      <c r="S573" s="236"/>
      <c r="T573" s="237"/>
      <c r="U573" s="283"/>
      <c r="V573" s="215"/>
      <c r="W573" s="215"/>
      <c r="X573" s="236"/>
      <c r="Y573" s="232"/>
      <c r="AA573" s="215"/>
      <c r="AB573" s="245"/>
      <c r="AC573" s="215"/>
      <c r="AD573" s="215"/>
      <c r="AE573" s="215"/>
      <c r="AF573" s="215"/>
      <c r="AG573" s="215"/>
      <c r="AH573" s="215"/>
      <c r="AI573" s="215"/>
      <c r="AJ573" s="215"/>
      <c r="AK573" s="215"/>
      <c r="AL573" s="215"/>
      <c r="AM573" s="215"/>
      <c r="AN573" s="215"/>
      <c r="AO573" s="245"/>
      <c r="AP573" s="215"/>
      <c r="AQ573" s="215"/>
      <c r="AR573" s="215"/>
      <c r="AS573" s="215"/>
      <c r="AT573" s="215"/>
      <c r="AU573" s="215"/>
      <c r="AV573" s="215"/>
      <c r="AW573" s="215"/>
      <c r="AX573" s="215"/>
      <c r="AY573" s="215"/>
      <c r="AZ573" s="215"/>
      <c r="BA573" s="215"/>
    </row>
    <row r="574" spans="1:53" s="244" customFormat="1" x14ac:dyDescent="0.25">
      <c r="A574" s="211" t="s">
        <v>1569</v>
      </c>
      <c r="B574" s="212" t="s">
        <v>1570</v>
      </c>
      <c r="C574" s="238" t="s">
        <v>1571</v>
      </c>
      <c r="D574" s="246"/>
      <c r="E574" s="246"/>
      <c r="F574" s="215">
        <v>0</v>
      </c>
      <c r="G574" s="215">
        <v>0</v>
      </c>
      <c r="H574" s="236">
        <f>+F574-G574</f>
        <v>0</v>
      </c>
      <c r="I574" s="237">
        <f>IF(G574&lt;0,IF(H574=0,0,IF(OR(G574=0,F574=0),"N.M.",IF(ABS(H574/G574)&gt;=10,"N.M.",H574/(-G574)))),IF(H574=0,0,IF(OR(G574=0,F574=0),"N.M.",IF(ABS(H574/G574)&gt;=10,"N.M.",H574/G574))))</f>
        <v>0</v>
      </c>
      <c r="J574" s="242"/>
      <c r="K574" s="215">
        <v>0</v>
      </c>
      <c r="L574" s="215">
        <v>0</v>
      </c>
      <c r="M574" s="236">
        <f>+K574-L574</f>
        <v>0</v>
      </c>
      <c r="N574" s="237">
        <f>IF(L574&lt;0,IF(M574=0,0,IF(OR(L574=0,K574=0),"N.M.",IF(ABS(M574/L574)&gt;=10,"N.M.",M574/(-L574)))),IF(M574=0,0,IF(OR(L574=0,K574=0),"N.M.",IF(ABS(M574/L574)&gt;=10,"N.M.",M574/L574))))</f>
        <v>0</v>
      </c>
      <c r="O574" s="282"/>
      <c r="P574" s="283"/>
      <c r="Q574" s="215">
        <v>0</v>
      </c>
      <c r="R574" s="215">
        <v>0</v>
      </c>
      <c r="S574" s="236">
        <f>+Q574-R574</f>
        <v>0</v>
      </c>
      <c r="T574" s="237">
        <f>IF(R574&lt;0,IF(S574=0,0,IF(OR(R574=0,Q574=0),"N.M.",IF(ABS(S574/R574)&gt;=10,"N.M.",S574/(-R574)))),IF(S574=0,0,IF(OR(R574=0,Q574=0),"N.M.",IF(ABS(S574/R574)&gt;=10,"N.M.",S574/R574))))</f>
        <v>0</v>
      </c>
      <c r="U574" s="283"/>
      <c r="V574" s="215">
        <v>0</v>
      </c>
      <c r="W574" s="215">
        <v>0</v>
      </c>
      <c r="X574" s="236">
        <f>+V574-W574</f>
        <v>0</v>
      </c>
      <c r="Y574" s="232">
        <f>IF(W574&lt;0,IF(X574=0,0,IF(OR(W574=0,V574=0),"N.M.",IF(ABS(X574/W574)&gt;=10,"N.M.",X574/(-W574)))),IF(X574=0,0,IF(OR(W574=0,V574=0),"N.M.",IF(ABS(X574/W574)&gt;=10,"N.M.",X574/W574))))</f>
        <v>0</v>
      </c>
      <c r="AA574" s="215">
        <v>0</v>
      </c>
      <c r="AB574" s="245"/>
      <c r="AC574" s="215">
        <v>0</v>
      </c>
      <c r="AD574" s="215">
        <v>0</v>
      </c>
      <c r="AE574" s="215">
        <v>0</v>
      </c>
      <c r="AF574" s="215">
        <v>0</v>
      </c>
      <c r="AG574" s="215">
        <v>0</v>
      </c>
      <c r="AH574" s="215">
        <v>0</v>
      </c>
      <c r="AI574" s="215">
        <v>0</v>
      </c>
      <c r="AJ574" s="215">
        <v>0</v>
      </c>
      <c r="AK574" s="215">
        <v>0</v>
      </c>
      <c r="AL574" s="215">
        <v>0</v>
      </c>
      <c r="AM574" s="215">
        <v>0</v>
      </c>
      <c r="AN574" s="215">
        <v>0</v>
      </c>
      <c r="AO574" s="245"/>
      <c r="AP574" s="215">
        <v>0</v>
      </c>
      <c r="AQ574" s="215">
        <v>0</v>
      </c>
      <c r="AR574" s="215">
        <v>0</v>
      </c>
      <c r="AS574" s="215">
        <v>0</v>
      </c>
      <c r="AT574" s="215">
        <v>0</v>
      </c>
      <c r="AU574" s="215">
        <v>0</v>
      </c>
      <c r="AV574" s="215">
        <v>0</v>
      </c>
      <c r="AW574" s="215">
        <v>0</v>
      </c>
      <c r="AX574" s="215">
        <v>0</v>
      </c>
      <c r="AY574" s="215">
        <v>0</v>
      </c>
      <c r="AZ574" s="215">
        <v>0</v>
      </c>
      <c r="BA574" s="215">
        <v>0</v>
      </c>
    </row>
    <row r="575" spans="1:53" s="244" customFormat="1" ht="0.75" customHeight="1" outlineLevel="2" x14ac:dyDescent="0.25">
      <c r="A575" s="211"/>
      <c r="B575" s="212"/>
      <c r="C575" s="238"/>
      <c r="D575" s="246"/>
      <c r="E575" s="246"/>
      <c r="F575" s="215"/>
      <c r="G575" s="215"/>
      <c r="H575" s="236"/>
      <c r="I575" s="237"/>
      <c r="J575" s="242"/>
      <c r="K575" s="215"/>
      <c r="L575" s="215"/>
      <c r="M575" s="236"/>
      <c r="N575" s="237"/>
      <c r="O575" s="282"/>
      <c r="P575" s="283"/>
      <c r="Q575" s="215"/>
      <c r="R575" s="215"/>
      <c r="S575" s="236"/>
      <c r="T575" s="237"/>
      <c r="U575" s="283"/>
      <c r="V575" s="215"/>
      <c r="W575" s="215"/>
      <c r="X575" s="236"/>
      <c r="Y575" s="232"/>
      <c r="AA575" s="215"/>
      <c r="AB575" s="245"/>
      <c r="AC575" s="215"/>
      <c r="AD575" s="215"/>
      <c r="AE575" s="215"/>
      <c r="AF575" s="215"/>
      <c r="AG575" s="215"/>
      <c r="AH575" s="215"/>
      <c r="AI575" s="215"/>
      <c r="AJ575" s="215"/>
      <c r="AK575" s="215"/>
      <c r="AL575" s="215"/>
      <c r="AM575" s="215"/>
      <c r="AN575" s="215"/>
      <c r="AO575" s="245"/>
      <c r="AP575" s="215"/>
      <c r="AQ575" s="215"/>
      <c r="AR575" s="215"/>
      <c r="AS575" s="215"/>
      <c r="AT575" s="215"/>
      <c r="AU575" s="215"/>
      <c r="AV575" s="215"/>
      <c r="AW575" s="215"/>
      <c r="AX575" s="215"/>
      <c r="AY575" s="215"/>
      <c r="AZ575" s="215"/>
      <c r="BA575" s="215"/>
    </row>
    <row r="576" spans="1:53" s="138" customFormat="1" outlineLevel="2" x14ac:dyDescent="0.25">
      <c r="A576" s="138" t="s">
        <v>1572</v>
      </c>
      <c r="B576" s="139" t="s">
        <v>1573</v>
      </c>
      <c r="C576" s="140" t="s">
        <v>1574</v>
      </c>
      <c r="D576" s="141"/>
      <c r="E576" s="142"/>
      <c r="F576" s="143">
        <v>53286.71</v>
      </c>
      <c r="G576" s="143">
        <v>61998.400000000001</v>
      </c>
      <c r="H576" s="144">
        <f>+F576-G576</f>
        <v>-8711.6900000000023</v>
      </c>
      <c r="I576" s="145">
        <f>IF(G576&lt;0,IF(H576=0,0,IF(OR(G576=0,F576=0),"N.M.",IF(ABS(H576/G576)&gt;=10,"N.M.",H576/(-G576)))),IF(H576=0,0,IF(OR(G576=0,F576=0),"N.M.",IF(ABS(H576/G576)&gt;=10,"N.M.",H576/G576))))</f>
        <v>-0.14051475521948956</v>
      </c>
      <c r="J576" s="146"/>
      <c r="K576" s="143">
        <v>104114.83</v>
      </c>
      <c r="L576" s="143">
        <v>112903.8</v>
      </c>
      <c r="M576" s="144">
        <f>+K576-L576</f>
        <v>-8788.9700000000012</v>
      </c>
      <c r="N576" s="145">
        <f>IF(L576&lt;0,IF(M576=0,0,IF(OR(L576=0,K576=0),"N.M.",IF(ABS(M576/L576)&gt;=10,"N.M.",M576/(-L576)))),IF(M576=0,0,IF(OR(L576=0,K576=0),"N.M.",IF(ABS(M576/L576)&gt;=10,"N.M.",M576/L576))))</f>
        <v>-7.7844766960899467E-2</v>
      </c>
      <c r="O576" s="147"/>
      <c r="P576" s="146"/>
      <c r="Q576" s="143">
        <v>3071192.45</v>
      </c>
      <c r="R576" s="143">
        <v>181792.94</v>
      </c>
      <c r="S576" s="144">
        <f>+Q576-R576</f>
        <v>2889399.5100000002</v>
      </c>
      <c r="T576" s="145" t="str">
        <f>IF(R576&lt;0,IF(S576=0,0,IF(OR(R576=0,Q576=0),"N.M.",IF(ABS(S576/R576)&gt;=10,"N.M.",S576/(-R576)))),IF(S576=0,0,IF(OR(R576=0,Q576=0),"N.M.",IF(ABS(S576/R576)&gt;=10,"N.M.",S576/R576))))</f>
        <v>N.M.</v>
      </c>
      <c r="U576" s="146"/>
      <c r="V576" s="143">
        <v>3632189.5100000002</v>
      </c>
      <c r="W576" s="143">
        <v>513038.52</v>
      </c>
      <c r="X576" s="144">
        <f>+V576-W576</f>
        <v>3119150.99</v>
      </c>
      <c r="Y576" s="145">
        <f>IF(W576&lt;0,IF(X576=0,0,IF(OR(W576=0,V576=0),"N.M.",IF(ABS(X576/W576)&gt;=10,"N.M.",X576/(-W576)))),IF(X576=0,0,IF(OR(W576=0,V576=0),"N.M.",IF(ABS(X576/W576)&gt;=10,"N.M.",X576/W576))))</f>
        <v>6.0797598394756012</v>
      </c>
      <c r="Z576" s="148"/>
      <c r="AA576" s="149">
        <v>68889.14</v>
      </c>
      <c r="AB576" s="150"/>
      <c r="AC576" s="117">
        <v>50905.4</v>
      </c>
      <c r="AD576" s="117">
        <v>61998.400000000001</v>
      </c>
      <c r="AE576" s="117">
        <v>52662.94</v>
      </c>
      <c r="AF576" s="117">
        <v>49366.97</v>
      </c>
      <c r="AG576" s="117">
        <v>53268</v>
      </c>
      <c r="AH576" s="117">
        <v>49794.21</v>
      </c>
      <c r="AI576" s="117">
        <v>57197.41</v>
      </c>
      <c r="AJ576" s="117">
        <v>47581.1</v>
      </c>
      <c r="AK576" s="117">
        <v>49585.55</v>
      </c>
      <c r="AL576" s="117">
        <v>63943.21</v>
      </c>
      <c r="AM576" s="117">
        <v>137597.67000000001</v>
      </c>
      <c r="AN576" s="117">
        <v>2967077.62</v>
      </c>
      <c r="AO576" s="150"/>
      <c r="AP576" s="117">
        <v>50828.12</v>
      </c>
      <c r="AQ576" s="117">
        <v>53286.71</v>
      </c>
      <c r="AR576" s="117">
        <v>0</v>
      </c>
      <c r="AS576" s="117">
        <v>0</v>
      </c>
      <c r="AT576" s="117">
        <v>0</v>
      </c>
      <c r="AU576" s="117">
        <v>0</v>
      </c>
      <c r="AV576" s="117">
        <v>0</v>
      </c>
      <c r="AW576" s="117">
        <v>0</v>
      </c>
      <c r="AX576" s="117">
        <v>0</v>
      </c>
      <c r="AY576" s="117">
        <v>0</v>
      </c>
      <c r="AZ576" s="117">
        <v>0</v>
      </c>
      <c r="BA576" s="117">
        <v>0</v>
      </c>
    </row>
    <row r="577" spans="1:53" s="244" customFormat="1" x14ac:dyDescent="0.25">
      <c r="A577" s="211" t="s">
        <v>1575</v>
      </c>
      <c r="B577" s="212" t="s">
        <v>1576</v>
      </c>
      <c r="C577" s="238" t="s">
        <v>1577</v>
      </c>
      <c r="D577" s="246"/>
      <c r="E577" s="246"/>
      <c r="F577" s="215">
        <v>53286.71</v>
      </c>
      <c r="G577" s="215">
        <v>61998.400000000001</v>
      </c>
      <c r="H577" s="236">
        <f>+F577-G577</f>
        <v>-8711.6900000000023</v>
      </c>
      <c r="I577" s="237">
        <f>IF(G577&lt;0,IF(H577=0,0,IF(OR(G577=0,F577=0),"N.M.",IF(ABS(H577/G577)&gt;=10,"N.M.",H577/(-G577)))),IF(H577=0,0,IF(OR(G577=0,F577=0),"N.M.",IF(ABS(H577/G577)&gt;=10,"N.M.",H577/G577))))</f>
        <v>-0.14051475521948956</v>
      </c>
      <c r="J577" s="242"/>
      <c r="K577" s="215">
        <v>104114.83</v>
      </c>
      <c r="L577" s="215">
        <v>112903.8</v>
      </c>
      <c r="M577" s="236">
        <f>+K577-L577</f>
        <v>-8788.9700000000012</v>
      </c>
      <c r="N577" s="237">
        <f>IF(L577&lt;0,IF(M577=0,0,IF(OR(L577=0,K577=0),"N.M.",IF(ABS(M577/L577)&gt;=10,"N.M.",M577/(-L577)))),IF(M577=0,0,IF(OR(L577=0,K577=0),"N.M.",IF(ABS(M577/L577)&gt;=10,"N.M.",M577/L577))))</f>
        <v>-7.7844766960899467E-2</v>
      </c>
      <c r="O577" s="282"/>
      <c r="P577" s="283"/>
      <c r="Q577" s="215">
        <v>3071192.45</v>
      </c>
      <c r="R577" s="215">
        <v>181792.94</v>
      </c>
      <c r="S577" s="236">
        <f>+Q577-R577</f>
        <v>2889399.5100000002</v>
      </c>
      <c r="T577" s="237" t="str">
        <f>IF(R577&lt;0,IF(S577=0,0,IF(OR(R577=0,Q577=0),"N.M.",IF(ABS(S577/R577)&gt;=10,"N.M.",S577/(-R577)))),IF(S577=0,0,IF(OR(R577=0,Q577=0),"N.M.",IF(ABS(S577/R577)&gt;=10,"N.M.",S577/R577))))</f>
        <v>N.M.</v>
      </c>
      <c r="U577" s="283"/>
      <c r="V577" s="215">
        <v>3632189.5100000002</v>
      </c>
      <c r="W577" s="215">
        <v>513038.52</v>
      </c>
      <c r="X577" s="236">
        <f>+V577-W577</f>
        <v>3119150.99</v>
      </c>
      <c r="Y577" s="232">
        <f>IF(W577&lt;0,IF(X577=0,0,IF(OR(W577=0,V577=0),"N.M.",IF(ABS(X577/W577)&gt;=10,"N.M.",X577/(-W577)))),IF(X577=0,0,IF(OR(W577=0,V577=0),"N.M.",IF(ABS(X577/W577)&gt;=10,"N.M.",X577/W577))))</f>
        <v>6.0797598394756012</v>
      </c>
      <c r="AA577" s="215">
        <v>68889.14</v>
      </c>
      <c r="AB577" s="245"/>
      <c r="AC577" s="215">
        <v>50905.4</v>
      </c>
      <c r="AD577" s="215">
        <v>61998.400000000001</v>
      </c>
      <c r="AE577" s="215">
        <v>52662.94</v>
      </c>
      <c r="AF577" s="215">
        <v>49366.97</v>
      </c>
      <c r="AG577" s="215">
        <v>53268</v>
      </c>
      <c r="AH577" s="215">
        <v>49794.21</v>
      </c>
      <c r="AI577" s="215">
        <v>57197.41</v>
      </c>
      <c r="AJ577" s="215">
        <v>47581.1</v>
      </c>
      <c r="AK577" s="215">
        <v>49585.55</v>
      </c>
      <c r="AL577" s="215">
        <v>63943.21</v>
      </c>
      <c r="AM577" s="215">
        <v>137597.67000000001</v>
      </c>
      <c r="AN577" s="215">
        <v>2967077.62</v>
      </c>
      <c r="AO577" s="245"/>
      <c r="AP577" s="215">
        <v>50828.12</v>
      </c>
      <c r="AQ577" s="215">
        <v>53286.71</v>
      </c>
      <c r="AR577" s="215">
        <v>0</v>
      </c>
      <c r="AS577" s="215">
        <v>0</v>
      </c>
      <c r="AT577" s="215">
        <v>0</v>
      </c>
      <c r="AU577" s="215">
        <v>0</v>
      </c>
      <c r="AV577" s="215">
        <v>0</v>
      </c>
      <c r="AW577" s="215">
        <v>0</v>
      </c>
      <c r="AX577" s="215">
        <v>0</v>
      </c>
      <c r="AY577" s="215">
        <v>0</v>
      </c>
      <c r="AZ577" s="215">
        <v>0</v>
      </c>
      <c r="BA577" s="215">
        <v>0</v>
      </c>
    </row>
    <row r="578" spans="1:53" s="244" customFormat="1" ht="0.75" customHeight="1" outlineLevel="2" x14ac:dyDescent="0.25">
      <c r="A578" s="211"/>
      <c r="B578" s="212"/>
      <c r="C578" s="238"/>
      <c r="D578" s="246"/>
      <c r="E578" s="246"/>
      <c r="F578" s="215"/>
      <c r="G578" s="215"/>
      <c r="H578" s="236"/>
      <c r="I578" s="237"/>
      <c r="J578" s="242"/>
      <c r="K578" s="215"/>
      <c r="L578" s="215"/>
      <c r="M578" s="236"/>
      <c r="N578" s="237"/>
      <c r="O578" s="282"/>
      <c r="P578" s="283"/>
      <c r="Q578" s="215"/>
      <c r="R578" s="215"/>
      <c r="S578" s="236"/>
      <c r="T578" s="237"/>
      <c r="U578" s="283"/>
      <c r="V578" s="215"/>
      <c r="W578" s="215"/>
      <c r="X578" s="236"/>
      <c r="Y578" s="232"/>
      <c r="AA578" s="215"/>
      <c r="AB578" s="245"/>
      <c r="AC578" s="215"/>
      <c r="AD578" s="215"/>
      <c r="AE578" s="215"/>
      <c r="AF578" s="215"/>
      <c r="AG578" s="215"/>
      <c r="AH578" s="215"/>
      <c r="AI578" s="215"/>
      <c r="AJ578" s="215"/>
      <c r="AK578" s="215"/>
      <c r="AL578" s="215"/>
      <c r="AM578" s="215"/>
      <c r="AN578" s="215"/>
      <c r="AO578" s="245"/>
      <c r="AP578" s="215"/>
      <c r="AQ578" s="215"/>
      <c r="AR578" s="215"/>
      <c r="AS578" s="215"/>
      <c r="AT578" s="215"/>
      <c r="AU578" s="215"/>
      <c r="AV578" s="215"/>
      <c r="AW578" s="215"/>
      <c r="AX578" s="215"/>
      <c r="AY578" s="215"/>
      <c r="AZ578" s="215"/>
      <c r="BA578" s="215"/>
    </row>
    <row r="579" spans="1:53" s="244" customFormat="1" x14ac:dyDescent="0.25">
      <c r="A579" s="211" t="s">
        <v>1578</v>
      </c>
      <c r="B579" s="212" t="s">
        <v>1579</v>
      </c>
      <c r="C579" s="238" t="s">
        <v>1580</v>
      </c>
      <c r="D579" s="246"/>
      <c r="E579" s="246"/>
      <c r="F579" s="241">
        <v>0</v>
      </c>
      <c r="G579" s="241">
        <v>0</v>
      </c>
      <c r="H579" s="236">
        <f>+F579-G579</f>
        <v>0</v>
      </c>
      <c r="I579" s="237">
        <f>IF(G579&lt;0,IF(H579=0,0,IF(OR(G579=0,F579=0),"N.M.",IF(ABS(H579/G579)&gt;=10,"N.M.",H579/(-G579)))),IF(H579=0,0,IF(OR(G579=0,F579=0),"N.M.",IF(ABS(H579/G579)&gt;=10,"N.M.",H579/G579))))</f>
        <v>0</v>
      </c>
      <c r="J579" s="242"/>
      <c r="K579" s="241">
        <v>0</v>
      </c>
      <c r="L579" s="241">
        <v>0</v>
      </c>
      <c r="M579" s="236">
        <f>+K579-L579</f>
        <v>0</v>
      </c>
      <c r="N579" s="237">
        <f>IF(L579&lt;0,IF(M579=0,0,IF(OR(L579=0,K579=0),"N.M.",IF(ABS(M579/L579)&gt;=10,"N.M.",M579/(-L579)))),IF(M579=0,0,IF(OR(L579=0,K579=0),"N.M.",IF(ABS(M579/L579)&gt;=10,"N.M.",M579/L579))))</f>
        <v>0</v>
      </c>
      <c r="O579" s="284"/>
      <c r="P579" s="285"/>
      <c r="Q579" s="241">
        <v>0</v>
      </c>
      <c r="R579" s="241">
        <v>0</v>
      </c>
      <c r="S579" s="236">
        <f>+Q579-R579</f>
        <v>0</v>
      </c>
      <c r="T579" s="237">
        <f>IF(R579&lt;0,IF(S579=0,0,IF(OR(R579=0,Q579=0),"N.M.",IF(ABS(S579/R579)&gt;=10,"N.M.",S579/(-R579)))),IF(S579=0,0,IF(OR(R579=0,Q579=0),"N.M.",IF(ABS(S579/R579)&gt;=10,"N.M.",S579/R579))))</f>
        <v>0</v>
      </c>
      <c r="U579" s="285"/>
      <c r="V579" s="241">
        <v>0</v>
      </c>
      <c r="W579" s="241">
        <v>0</v>
      </c>
      <c r="X579" s="236">
        <f>+V579-W579</f>
        <v>0</v>
      </c>
      <c r="Y579" s="232">
        <f>IF(W579&lt;0,IF(X579=0,0,IF(OR(W579=0,V579=0),"N.M.",IF(ABS(X579/W579)&gt;=10,"N.M.",X579/(-W579)))),IF(X579=0,0,IF(OR(W579=0,V579=0),"N.M.",IF(ABS(X579/W579)&gt;=10,"N.M.",X579/W579))))</f>
        <v>0</v>
      </c>
      <c r="AA579" s="241">
        <v>0</v>
      </c>
      <c r="AB579" s="245"/>
      <c r="AC579" s="241">
        <v>0</v>
      </c>
      <c r="AD579" s="241">
        <v>0</v>
      </c>
      <c r="AE579" s="241">
        <v>0</v>
      </c>
      <c r="AF579" s="241">
        <v>0</v>
      </c>
      <c r="AG579" s="241">
        <v>0</v>
      </c>
      <c r="AH579" s="241">
        <v>0</v>
      </c>
      <c r="AI579" s="241">
        <v>0</v>
      </c>
      <c r="AJ579" s="241">
        <v>0</v>
      </c>
      <c r="AK579" s="241">
        <v>0</v>
      </c>
      <c r="AL579" s="241">
        <v>0</v>
      </c>
      <c r="AM579" s="241">
        <v>0</v>
      </c>
      <c r="AN579" s="241">
        <v>0</v>
      </c>
      <c r="AO579" s="245"/>
      <c r="AP579" s="241">
        <v>0</v>
      </c>
      <c r="AQ579" s="241">
        <v>0</v>
      </c>
      <c r="AR579" s="241">
        <v>0</v>
      </c>
      <c r="AS579" s="241">
        <v>0</v>
      </c>
      <c r="AT579" s="241">
        <v>0</v>
      </c>
      <c r="AU579" s="241">
        <v>0</v>
      </c>
      <c r="AV579" s="241">
        <v>0</v>
      </c>
      <c r="AW579" s="241">
        <v>0</v>
      </c>
      <c r="AX579" s="241">
        <v>0</v>
      </c>
      <c r="AY579" s="241">
        <v>0</v>
      </c>
      <c r="AZ579" s="241">
        <v>0</v>
      </c>
      <c r="BA579" s="241">
        <v>0</v>
      </c>
    </row>
    <row r="580" spans="1:53" s="244" customFormat="1" ht="0.75" customHeight="1" outlineLevel="2" x14ac:dyDescent="0.25">
      <c r="A580" s="211"/>
      <c r="B580" s="212"/>
      <c r="C580" s="238"/>
      <c r="D580" s="246"/>
      <c r="E580" s="246"/>
      <c r="F580" s="241"/>
      <c r="G580" s="241"/>
      <c r="H580" s="236"/>
      <c r="I580" s="237"/>
      <c r="J580" s="242"/>
      <c r="K580" s="241"/>
      <c r="L580" s="241"/>
      <c r="M580" s="236"/>
      <c r="N580" s="237"/>
      <c r="O580" s="284"/>
      <c r="P580" s="285"/>
      <c r="Q580" s="241"/>
      <c r="R580" s="241"/>
      <c r="S580" s="236"/>
      <c r="T580" s="237"/>
      <c r="U580" s="285"/>
      <c r="V580" s="241"/>
      <c r="W580" s="241"/>
      <c r="X580" s="236"/>
      <c r="Y580" s="232"/>
      <c r="AA580" s="241"/>
      <c r="AB580" s="245"/>
      <c r="AC580" s="241"/>
      <c r="AD580" s="241"/>
      <c r="AE580" s="241"/>
      <c r="AF580" s="241"/>
      <c r="AG580" s="241"/>
      <c r="AH580" s="241"/>
      <c r="AI580" s="241"/>
      <c r="AJ580" s="241"/>
      <c r="AK580" s="241"/>
      <c r="AL580" s="241"/>
      <c r="AM580" s="241"/>
      <c r="AN580" s="241"/>
      <c r="AO580" s="245"/>
      <c r="AP580" s="241"/>
      <c r="AQ580" s="241"/>
      <c r="AR580" s="241"/>
      <c r="AS580" s="241"/>
      <c r="AT580" s="241"/>
      <c r="AU580" s="241"/>
      <c r="AV580" s="241"/>
      <c r="AW580" s="241"/>
      <c r="AX580" s="241"/>
      <c r="AY580" s="241"/>
      <c r="AZ580" s="241"/>
      <c r="BA580" s="241"/>
    </row>
    <row r="581" spans="1:53" s="138" customFormat="1" outlineLevel="2" x14ac:dyDescent="0.25">
      <c r="A581" s="138" t="s">
        <v>1581</v>
      </c>
      <c r="B581" s="139" t="s">
        <v>1582</v>
      </c>
      <c r="C581" s="140" t="s">
        <v>1583</v>
      </c>
      <c r="D581" s="141"/>
      <c r="E581" s="142"/>
      <c r="F581" s="143">
        <v>0</v>
      </c>
      <c r="G581" s="143">
        <v>0</v>
      </c>
      <c r="H581" s="144">
        <f>+F581-G581</f>
        <v>0</v>
      </c>
      <c r="I581" s="145">
        <f>IF(G581&lt;0,IF(H581=0,0,IF(OR(G581=0,F581=0),"N.M.",IF(ABS(H581/G581)&gt;=10,"N.M.",H581/(-G581)))),IF(H581=0,0,IF(OR(G581=0,F581=0),"N.M.",IF(ABS(H581/G581)&gt;=10,"N.M.",H581/G581))))</f>
        <v>0</v>
      </c>
      <c r="J581" s="146"/>
      <c r="K581" s="143">
        <v>322.33</v>
      </c>
      <c r="L581" s="143">
        <v>0</v>
      </c>
      <c r="M581" s="144">
        <f>+K581-L581</f>
        <v>322.33</v>
      </c>
      <c r="N581" s="145" t="str">
        <f>IF(L581&lt;0,IF(M581=0,0,IF(OR(L581=0,K581=0),"N.M.",IF(ABS(M581/L581)&gt;=10,"N.M.",M581/(-L581)))),IF(M581=0,0,IF(OR(L581=0,K581=0),"N.M.",IF(ABS(M581/L581)&gt;=10,"N.M.",M581/L581))))</f>
        <v>N.M.</v>
      </c>
      <c r="O581" s="147"/>
      <c r="P581" s="146"/>
      <c r="Q581" s="143">
        <v>3322.33</v>
      </c>
      <c r="R581" s="143">
        <v>0</v>
      </c>
      <c r="S581" s="144">
        <f>+Q581-R581</f>
        <v>3322.33</v>
      </c>
      <c r="T581" s="145" t="str">
        <f>IF(R581&lt;0,IF(S581=0,0,IF(OR(R581=0,Q581=0),"N.M.",IF(ABS(S581/R581)&gt;=10,"N.M.",S581/(-R581)))),IF(S581=0,0,IF(OR(R581=0,Q581=0),"N.M.",IF(ABS(S581/R581)&gt;=10,"N.M.",S581/R581))))</f>
        <v>N.M.</v>
      </c>
      <c r="U581" s="146"/>
      <c r="V581" s="143">
        <v>5420.17</v>
      </c>
      <c r="W581" s="143">
        <v>11427.710000000001</v>
      </c>
      <c r="X581" s="144">
        <f>+V581-W581</f>
        <v>-6007.5400000000009</v>
      </c>
      <c r="Y581" s="145">
        <f>IF(W581&lt;0,IF(X581=0,0,IF(OR(W581=0,V581=0),"N.M.",IF(ABS(X581/W581)&gt;=10,"N.M.",X581/(-W581)))),IF(X581=0,0,IF(OR(W581=0,V581=0),"N.M.",IF(ABS(X581/W581)&gt;=10,"N.M.",X581/W581))))</f>
        <v>-0.52569937459035976</v>
      </c>
      <c r="Z581" s="148"/>
      <c r="AA581" s="149">
        <v>0</v>
      </c>
      <c r="AB581" s="150"/>
      <c r="AC581" s="117">
        <v>0</v>
      </c>
      <c r="AD581" s="117">
        <v>0</v>
      </c>
      <c r="AE581" s="117">
        <v>822.43000000000006</v>
      </c>
      <c r="AF581" s="117">
        <v>0</v>
      </c>
      <c r="AG581" s="117">
        <v>0</v>
      </c>
      <c r="AH581" s="117">
        <v>0</v>
      </c>
      <c r="AI581" s="117">
        <v>0</v>
      </c>
      <c r="AJ581" s="117">
        <v>78.03</v>
      </c>
      <c r="AK581" s="117">
        <v>104</v>
      </c>
      <c r="AL581" s="117">
        <v>1093.3800000000001</v>
      </c>
      <c r="AM581" s="117">
        <v>0</v>
      </c>
      <c r="AN581" s="117">
        <v>3000</v>
      </c>
      <c r="AO581" s="150"/>
      <c r="AP581" s="117">
        <v>322.33</v>
      </c>
      <c r="AQ581" s="117">
        <v>0</v>
      </c>
      <c r="AR581" s="117">
        <v>0</v>
      </c>
      <c r="AS581" s="117">
        <v>0</v>
      </c>
      <c r="AT581" s="117">
        <v>0</v>
      </c>
      <c r="AU581" s="117">
        <v>0</v>
      </c>
      <c r="AV581" s="117">
        <v>0</v>
      </c>
      <c r="AW581" s="117">
        <v>0</v>
      </c>
      <c r="AX581" s="117">
        <v>0</v>
      </c>
      <c r="AY581" s="117">
        <v>0</v>
      </c>
      <c r="AZ581" s="117">
        <v>0</v>
      </c>
      <c r="BA581" s="117">
        <v>0</v>
      </c>
    </row>
    <row r="582" spans="1:53" s="138" customFormat="1" outlineLevel="2" x14ac:dyDescent="0.25">
      <c r="A582" s="138" t="s">
        <v>1584</v>
      </c>
      <c r="B582" s="139" t="s">
        <v>1585</v>
      </c>
      <c r="C582" s="140" t="s">
        <v>1586</v>
      </c>
      <c r="D582" s="141"/>
      <c r="E582" s="142"/>
      <c r="F582" s="143">
        <v>0</v>
      </c>
      <c r="G582" s="143">
        <v>0</v>
      </c>
      <c r="H582" s="144">
        <f>+F582-G582</f>
        <v>0</v>
      </c>
      <c r="I582" s="145">
        <f>IF(G582&lt;0,IF(H582=0,0,IF(OR(G582=0,F582=0),"N.M.",IF(ABS(H582/G582)&gt;=10,"N.M.",H582/(-G582)))),IF(H582=0,0,IF(OR(G582=0,F582=0),"N.M.",IF(ABS(H582/G582)&gt;=10,"N.M.",H582/G582))))</f>
        <v>0</v>
      </c>
      <c r="J582" s="146"/>
      <c r="K582" s="143">
        <v>0</v>
      </c>
      <c r="L582" s="143">
        <v>0</v>
      </c>
      <c r="M582" s="144">
        <f>+K582-L582</f>
        <v>0</v>
      </c>
      <c r="N582" s="145">
        <f>IF(L582&lt;0,IF(M582=0,0,IF(OR(L582=0,K582=0),"N.M.",IF(ABS(M582/L582)&gt;=10,"N.M.",M582/(-L582)))),IF(M582=0,0,IF(OR(L582=0,K582=0),"N.M.",IF(ABS(M582/L582)&gt;=10,"N.M.",M582/L582))))</f>
        <v>0</v>
      </c>
      <c r="O582" s="147"/>
      <c r="P582" s="146"/>
      <c r="Q582" s="143">
        <v>22661.920000000002</v>
      </c>
      <c r="R582" s="143">
        <v>0</v>
      </c>
      <c r="S582" s="144">
        <f>+Q582-R582</f>
        <v>22661.920000000002</v>
      </c>
      <c r="T582" s="145" t="str">
        <f>IF(R582&lt;0,IF(S582=0,0,IF(OR(R582=0,Q582=0),"N.M.",IF(ABS(S582/R582)&gt;=10,"N.M.",S582/(-R582)))),IF(S582=0,0,IF(OR(R582=0,Q582=0),"N.M.",IF(ABS(S582/R582)&gt;=10,"N.M.",S582/R582))))</f>
        <v>N.M.</v>
      </c>
      <c r="U582" s="146"/>
      <c r="V582" s="143">
        <v>22661.920000000002</v>
      </c>
      <c r="W582" s="143">
        <v>0</v>
      </c>
      <c r="X582" s="144">
        <f>+V582-W582</f>
        <v>22661.920000000002</v>
      </c>
      <c r="Y582" s="145" t="str">
        <f>IF(W582&lt;0,IF(X582=0,0,IF(OR(W582=0,V582=0),"N.M.",IF(ABS(X582/W582)&gt;=10,"N.M.",X582/(-W582)))),IF(X582=0,0,IF(OR(W582=0,V582=0),"N.M.",IF(ABS(X582/W582)&gt;=10,"N.M.",X582/W582))))</f>
        <v>N.M.</v>
      </c>
      <c r="Z582" s="148"/>
      <c r="AA582" s="149">
        <v>0</v>
      </c>
      <c r="AB582" s="150"/>
      <c r="AC582" s="117">
        <v>0</v>
      </c>
      <c r="AD582" s="117">
        <v>0</v>
      </c>
      <c r="AE582" s="117">
        <v>0</v>
      </c>
      <c r="AF582" s="117">
        <v>0</v>
      </c>
      <c r="AG582" s="117">
        <v>0</v>
      </c>
      <c r="AH582" s="117">
        <v>0</v>
      </c>
      <c r="AI582" s="117">
        <v>0</v>
      </c>
      <c r="AJ582" s="117">
        <v>0</v>
      </c>
      <c r="AK582" s="117">
        <v>0</v>
      </c>
      <c r="AL582" s="117">
        <v>0</v>
      </c>
      <c r="AM582" s="117">
        <v>0</v>
      </c>
      <c r="AN582" s="117">
        <v>22661.920000000002</v>
      </c>
      <c r="AO582" s="150"/>
      <c r="AP582" s="117">
        <v>0</v>
      </c>
      <c r="AQ582" s="117">
        <v>0</v>
      </c>
      <c r="AR582" s="117">
        <v>0</v>
      </c>
      <c r="AS582" s="117">
        <v>0</v>
      </c>
      <c r="AT582" s="117">
        <v>0</v>
      </c>
      <c r="AU582" s="117">
        <v>0</v>
      </c>
      <c r="AV582" s="117">
        <v>0</v>
      </c>
      <c r="AW582" s="117">
        <v>0</v>
      </c>
      <c r="AX582" s="117">
        <v>0</v>
      </c>
      <c r="AY582" s="117">
        <v>0</v>
      </c>
      <c r="AZ582" s="117">
        <v>0</v>
      </c>
      <c r="BA582" s="117">
        <v>0</v>
      </c>
    </row>
    <row r="583" spans="1:53" s="244" customFormat="1" x14ac:dyDescent="0.25">
      <c r="A583" s="211" t="s">
        <v>1587</v>
      </c>
      <c r="B583" s="212" t="s">
        <v>1588</v>
      </c>
      <c r="C583" s="238" t="s">
        <v>1589</v>
      </c>
      <c r="D583" s="246"/>
      <c r="E583" s="246"/>
      <c r="F583" s="241">
        <v>0</v>
      </c>
      <c r="G583" s="241">
        <v>0</v>
      </c>
      <c r="H583" s="236">
        <f>+F583-G583</f>
        <v>0</v>
      </c>
      <c r="I583" s="237">
        <f>IF(G583&lt;0,IF(H583=0,0,IF(OR(G583=0,F583=0),"N.M.",IF(ABS(H583/G583)&gt;=10,"N.M.",H583/(-G583)))),IF(H583=0,0,IF(OR(G583=0,F583=0),"N.M.",IF(ABS(H583/G583)&gt;=10,"N.M.",H583/G583))))</f>
        <v>0</v>
      </c>
      <c r="J583" s="242"/>
      <c r="K583" s="241">
        <v>322.33</v>
      </c>
      <c r="L583" s="241">
        <v>0</v>
      </c>
      <c r="M583" s="236">
        <f>+K583-L583</f>
        <v>322.33</v>
      </c>
      <c r="N583" s="237" t="str">
        <f>IF(L583&lt;0,IF(M583=0,0,IF(OR(L583=0,K583=0),"N.M.",IF(ABS(M583/L583)&gt;=10,"N.M.",M583/(-L583)))),IF(M583=0,0,IF(OR(L583=0,K583=0),"N.M.",IF(ABS(M583/L583)&gt;=10,"N.M.",M583/L583))))</f>
        <v>N.M.</v>
      </c>
      <c r="O583" s="148"/>
      <c r="P583" s="243"/>
      <c r="Q583" s="241">
        <v>25984.250000000004</v>
      </c>
      <c r="R583" s="241">
        <v>0</v>
      </c>
      <c r="S583" s="236">
        <f>+Q583-R583</f>
        <v>25984.250000000004</v>
      </c>
      <c r="T583" s="237" t="str">
        <f>IF(R583&lt;0,IF(S583=0,0,IF(OR(R583=0,Q583=0),"N.M.",IF(ABS(S583/R583)&gt;=10,"N.M.",S583/(-R583)))),IF(S583=0,0,IF(OR(R583=0,Q583=0),"N.M.",IF(ABS(S583/R583)&gt;=10,"N.M.",S583/R583))))</f>
        <v>N.M.</v>
      </c>
      <c r="U583" s="243"/>
      <c r="V583" s="241">
        <v>28082.090000000004</v>
      </c>
      <c r="W583" s="241">
        <v>11427.710000000001</v>
      </c>
      <c r="X583" s="236">
        <f>+V583-W583</f>
        <v>16654.380000000005</v>
      </c>
      <c r="Y583" s="232">
        <f>IF(W583&lt;0,IF(X583=0,0,IF(OR(W583=0,V583=0),"N.M.",IF(ABS(X583/W583)&gt;=10,"N.M.",X583/(-W583)))),IF(X583=0,0,IF(OR(W583=0,V583=0),"N.M.",IF(ABS(X583/W583)&gt;=10,"N.M.",X583/W583))))</f>
        <v>1.4573680991204714</v>
      </c>
      <c r="AA583" s="241">
        <v>0</v>
      </c>
      <c r="AB583" s="245"/>
      <c r="AC583" s="241">
        <v>0</v>
      </c>
      <c r="AD583" s="241">
        <v>0</v>
      </c>
      <c r="AE583" s="241">
        <v>822.43000000000006</v>
      </c>
      <c r="AF583" s="241">
        <v>0</v>
      </c>
      <c r="AG583" s="241">
        <v>0</v>
      </c>
      <c r="AH583" s="241">
        <v>0</v>
      </c>
      <c r="AI583" s="241">
        <v>0</v>
      </c>
      <c r="AJ583" s="241">
        <v>78.03</v>
      </c>
      <c r="AK583" s="241">
        <v>104</v>
      </c>
      <c r="AL583" s="241">
        <v>1093.3800000000001</v>
      </c>
      <c r="AM583" s="241">
        <v>0</v>
      </c>
      <c r="AN583" s="241">
        <v>25661.920000000002</v>
      </c>
      <c r="AO583" s="245"/>
      <c r="AP583" s="241">
        <v>322.33</v>
      </c>
      <c r="AQ583" s="241">
        <v>0</v>
      </c>
      <c r="AR583" s="241">
        <v>0</v>
      </c>
      <c r="AS583" s="241">
        <v>0</v>
      </c>
      <c r="AT583" s="241">
        <v>0</v>
      </c>
      <c r="AU583" s="241">
        <v>0</v>
      </c>
      <c r="AV583" s="241">
        <v>0</v>
      </c>
      <c r="AW583" s="241">
        <v>0</v>
      </c>
      <c r="AX583" s="241">
        <v>0</v>
      </c>
      <c r="AY583" s="241">
        <v>0</v>
      </c>
      <c r="AZ583" s="241">
        <v>0</v>
      </c>
      <c r="BA583" s="241">
        <v>0</v>
      </c>
    </row>
    <row r="584" spans="1:53" s="244" customFormat="1" ht="0.75" customHeight="1" outlineLevel="2" x14ac:dyDescent="0.25">
      <c r="A584" s="211"/>
      <c r="B584" s="212"/>
      <c r="C584" s="238"/>
      <c r="D584" s="246"/>
      <c r="E584" s="246"/>
      <c r="F584" s="241"/>
      <c r="G584" s="241"/>
      <c r="H584" s="236"/>
      <c r="I584" s="237"/>
      <c r="J584" s="242"/>
      <c r="K584" s="241"/>
      <c r="L584" s="241"/>
      <c r="M584" s="236"/>
      <c r="N584" s="237"/>
      <c r="O584" s="148"/>
      <c r="P584" s="243"/>
      <c r="Q584" s="241"/>
      <c r="R584" s="241"/>
      <c r="S584" s="236"/>
      <c r="T584" s="237"/>
      <c r="U584" s="243"/>
      <c r="V584" s="241"/>
      <c r="W584" s="241"/>
      <c r="X584" s="236"/>
      <c r="Y584" s="232"/>
      <c r="AA584" s="241"/>
      <c r="AB584" s="245"/>
      <c r="AC584" s="241"/>
      <c r="AD584" s="241"/>
      <c r="AE584" s="241"/>
      <c r="AF584" s="241"/>
      <c r="AG584" s="241"/>
      <c r="AH584" s="241"/>
      <c r="AI584" s="241"/>
      <c r="AJ584" s="241"/>
      <c r="AK584" s="241"/>
      <c r="AL584" s="241"/>
      <c r="AM584" s="241"/>
      <c r="AN584" s="241"/>
      <c r="AO584" s="245"/>
      <c r="AP584" s="241"/>
      <c r="AQ584" s="241"/>
      <c r="AR584" s="241"/>
      <c r="AS584" s="241"/>
      <c r="AT584" s="241"/>
      <c r="AU584" s="241"/>
      <c r="AV584" s="241"/>
      <c r="AW584" s="241"/>
      <c r="AX584" s="241"/>
      <c r="AY584" s="241"/>
      <c r="AZ584" s="241"/>
      <c r="BA584" s="241"/>
    </row>
    <row r="585" spans="1:53" s="138" customFormat="1" outlineLevel="2" x14ac:dyDescent="0.25">
      <c r="A585" s="138" t="s">
        <v>1590</v>
      </c>
      <c r="B585" s="139" t="s">
        <v>1591</v>
      </c>
      <c r="C585" s="140" t="s">
        <v>1592</v>
      </c>
      <c r="D585" s="141"/>
      <c r="E585" s="142"/>
      <c r="F585" s="143">
        <v>34240.050000000003</v>
      </c>
      <c r="G585" s="143">
        <v>48924.04</v>
      </c>
      <c r="H585" s="144">
        <f>+F585-G585</f>
        <v>-14683.989999999998</v>
      </c>
      <c r="I585" s="145">
        <f>IF(G585&lt;0,IF(H585=0,0,IF(OR(G585=0,F585=0),"N.M.",IF(ABS(H585/G585)&gt;=10,"N.M.",H585/(-G585)))),IF(H585=0,0,IF(OR(G585=0,F585=0),"N.M.",IF(ABS(H585/G585)&gt;=10,"N.M.",H585/G585))))</f>
        <v>-0.30013854129789769</v>
      </c>
      <c r="J585" s="146"/>
      <c r="K585" s="143">
        <v>102095.43000000001</v>
      </c>
      <c r="L585" s="143">
        <v>100516.8</v>
      </c>
      <c r="M585" s="144">
        <f>+K585-L585</f>
        <v>1578.6300000000047</v>
      </c>
      <c r="N585" s="145">
        <f>IF(L585&lt;0,IF(M585=0,0,IF(OR(L585=0,K585=0),"N.M.",IF(ABS(M585/L585)&gt;=10,"N.M.",M585/(-L585)))),IF(M585=0,0,IF(OR(L585=0,K585=0),"N.M.",IF(ABS(M585/L585)&gt;=10,"N.M.",M585/L585))))</f>
        <v>1.570513585788649E-2</v>
      </c>
      <c r="O585" s="147"/>
      <c r="P585" s="146"/>
      <c r="Q585" s="143">
        <v>145124.06</v>
      </c>
      <c r="R585" s="143">
        <v>146269.76000000001</v>
      </c>
      <c r="S585" s="144">
        <f>+Q585-R585</f>
        <v>-1145.7000000000116</v>
      </c>
      <c r="T585" s="145">
        <f>IF(R585&lt;0,IF(S585=0,0,IF(OR(R585=0,Q585=0),"N.M.",IF(ABS(S585/R585)&gt;=10,"N.M.",S585/(-R585)))),IF(S585=0,0,IF(OR(R585=0,Q585=0),"N.M.",IF(ABS(S585/R585)&gt;=10,"N.M.",S585/R585))))</f>
        <v>-7.832787857175753E-3</v>
      </c>
      <c r="U585" s="146"/>
      <c r="V585" s="143">
        <v>486276.26</v>
      </c>
      <c r="W585" s="143">
        <v>371815.14999999997</v>
      </c>
      <c r="X585" s="144">
        <f>+V585-W585</f>
        <v>114461.11000000004</v>
      </c>
      <c r="Y585" s="145">
        <f>IF(W585&lt;0,IF(X585=0,0,IF(OR(W585=0,V585=0),"N.M.",IF(ABS(X585/W585)&gt;=10,"N.M.",X585/(-W585)))),IF(X585=0,0,IF(OR(W585=0,V585=0),"N.M.",IF(ABS(X585/W585)&gt;=10,"N.M.",X585/W585))))</f>
        <v>0.30784412630846281</v>
      </c>
      <c r="Z585" s="148"/>
      <c r="AA585" s="149">
        <v>45752.959999999999</v>
      </c>
      <c r="AB585" s="150"/>
      <c r="AC585" s="117">
        <v>51592.76</v>
      </c>
      <c r="AD585" s="117">
        <v>48924.04</v>
      </c>
      <c r="AE585" s="117">
        <v>52144.36</v>
      </c>
      <c r="AF585" s="117">
        <v>31004.920000000002</v>
      </c>
      <c r="AG585" s="117">
        <v>41777.94</v>
      </c>
      <c r="AH585" s="117">
        <v>63642.26</v>
      </c>
      <c r="AI585" s="117">
        <v>18637.2</v>
      </c>
      <c r="AJ585" s="117">
        <v>20981.5</v>
      </c>
      <c r="AK585" s="117">
        <v>42559.6</v>
      </c>
      <c r="AL585" s="117">
        <v>48532.450000000004</v>
      </c>
      <c r="AM585" s="117">
        <v>21871.97</v>
      </c>
      <c r="AN585" s="117">
        <v>43028.63</v>
      </c>
      <c r="AO585" s="150"/>
      <c r="AP585" s="117">
        <v>67855.38</v>
      </c>
      <c r="AQ585" s="117">
        <v>34240.050000000003</v>
      </c>
      <c r="AR585" s="117">
        <v>4163.84</v>
      </c>
      <c r="AS585" s="117">
        <v>0</v>
      </c>
      <c r="AT585" s="117">
        <v>0</v>
      </c>
      <c r="AU585" s="117">
        <v>0</v>
      </c>
      <c r="AV585" s="117">
        <v>0</v>
      </c>
      <c r="AW585" s="117">
        <v>0</v>
      </c>
      <c r="AX585" s="117">
        <v>0</v>
      </c>
      <c r="AY585" s="117">
        <v>0</v>
      </c>
      <c r="AZ585" s="117">
        <v>0</v>
      </c>
      <c r="BA585" s="117">
        <v>0</v>
      </c>
    </row>
    <row r="586" spans="1:53" s="244" customFormat="1" x14ac:dyDescent="0.25">
      <c r="A586" s="211" t="s">
        <v>1593</v>
      </c>
      <c r="B586" s="212" t="s">
        <v>1594</v>
      </c>
      <c r="C586" s="238" t="s">
        <v>1595</v>
      </c>
      <c r="D586" s="246"/>
      <c r="E586" s="246"/>
      <c r="F586" s="241">
        <v>34240.050000000003</v>
      </c>
      <c r="G586" s="241">
        <v>48924.04</v>
      </c>
      <c r="H586" s="236">
        <f>+F586-G586</f>
        <v>-14683.989999999998</v>
      </c>
      <c r="I586" s="237">
        <f>IF(G586&lt;0,IF(H586=0,0,IF(OR(G586=0,F586=0),"N.M.",IF(ABS(H586/G586)&gt;=10,"N.M.",H586/(-G586)))),IF(H586=0,0,IF(OR(G586=0,F586=0),"N.M.",IF(ABS(H586/G586)&gt;=10,"N.M.",H586/G586))))</f>
        <v>-0.30013854129789769</v>
      </c>
      <c r="J586" s="242"/>
      <c r="K586" s="241">
        <v>102095.43000000001</v>
      </c>
      <c r="L586" s="241">
        <v>100516.8</v>
      </c>
      <c r="M586" s="236">
        <f>+K586-L586</f>
        <v>1578.6300000000047</v>
      </c>
      <c r="N586" s="237">
        <f>IF(L586&lt;0,IF(M586=0,0,IF(OR(L586=0,K586=0),"N.M.",IF(ABS(M586/L586)&gt;=10,"N.M.",M586/(-L586)))),IF(M586=0,0,IF(OR(L586=0,K586=0),"N.M.",IF(ABS(M586/L586)&gt;=10,"N.M.",M586/L586))))</f>
        <v>1.570513585788649E-2</v>
      </c>
      <c r="O586" s="148"/>
      <c r="P586" s="243"/>
      <c r="Q586" s="241">
        <v>145124.06</v>
      </c>
      <c r="R586" s="241">
        <v>146269.76000000001</v>
      </c>
      <c r="S586" s="236">
        <f>+Q586-R586</f>
        <v>-1145.7000000000116</v>
      </c>
      <c r="T586" s="237">
        <f>IF(R586&lt;0,IF(S586=0,0,IF(OR(R586=0,Q586=0),"N.M.",IF(ABS(S586/R586)&gt;=10,"N.M.",S586/(-R586)))),IF(S586=0,0,IF(OR(R586=0,Q586=0),"N.M.",IF(ABS(S586/R586)&gt;=10,"N.M.",S586/R586))))</f>
        <v>-7.832787857175753E-3</v>
      </c>
      <c r="U586" s="243"/>
      <c r="V586" s="241">
        <v>486276.26</v>
      </c>
      <c r="W586" s="241">
        <v>371815.14999999997</v>
      </c>
      <c r="X586" s="236">
        <f>+V586-W586</f>
        <v>114461.11000000004</v>
      </c>
      <c r="Y586" s="232">
        <f>IF(W586&lt;0,IF(X586=0,0,IF(OR(W586=0,V586=0),"N.M.",IF(ABS(X586/W586)&gt;=10,"N.M.",X586/(-W586)))),IF(X586=0,0,IF(OR(W586=0,V586=0),"N.M.",IF(ABS(X586/W586)&gt;=10,"N.M.",X586/W586))))</f>
        <v>0.30784412630846281</v>
      </c>
      <c r="AA586" s="241">
        <v>45752.959999999999</v>
      </c>
      <c r="AB586" s="245"/>
      <c r="AC586" s="241">
        <v>51592.76</v>
      </c>
      <c r="AD586" s="241">
        <v>48924.04</v>
      </c>
      <c r="AE586" s="241">
        <v>52144.36</v>
      </c>
      <c r="AF586" s="241">
        <v>31004.920000000002</v>
      </c>
      <c r="AG586" s="241">
        <v>41777.94</v>
      </c>
      <c r="AH586" s="241">
        <v>63642.26</v>
      </c>
      <c r="AI586" s="241">
        <v>18637.2</v>
      </c>
      <c r="AJ586" s="241">
        <v>20981.5</v>
      </c>
      <c r="AK586" s="241">
        <v>42559.6</v>
      </c>
      <c r="AL586" s="241">
        <v>48532.450000000004</v>
      </c>
      <c r="AM586" s="241">
        <v>21871.97</v>
      </c>
      <c r="AN586" s="241">
        <v>43028.63</v>
      </c>
      <c r="AO586" s="245"/>
      <c r="AP586" s="241">
        <v>67855.38</v>
      </c>
      <c r="AQ586" s="241">
        <v>34240.050000000003</v>
      </c>
      <c r="AR586" s="241">
        <v>4163.84</v>
      </c>
      <c r="AS586" s="241">
        <v>0</v>
      </c>
      <c r="AT586" s="241">
        <v>0</v>
      </c>
      <c r="AU586" s="241">
        <v>0</v>
      </c>
      <c r="AV586" s="241">
        <v>0</v>
      </c>
      <c r="AW586" s="241">
        <v>0</v>
      </c>
      <c r="AX586" s="241">
        <v>0</v>
      </c>
      <c r="AY586" s="241">
        <v>0</v>
      </c>
      <c r="AZ586" s="241">
        <v>0</v>
      </c>
      <c r="BA586" s="241">
        <v>0</v>
      </c>
    </row>
    <row r="587" spans="1:53" s="244" customFormat="1" ht="0.75" customHeight="1" outlineLevel="2" x14ac:dyDescent="0.25">
      <c r="A587" s="211"/>
      <c r="B587" s="212"/>
      <c r="C587" s="238"/>
      <c r="D587" s="246"/>
      <c r="E587" s="246"/>
      <c r="F587" s="241"/>
      <c r="G587" s="241"/>
      <c r="H587" s="236"/>
      <c r="I587" s="237"/>
      <c r="J587" s="242"/>
      <c r="K587" s="241"/>
      <c r="L587" s="241"/>
      <c r="M587" s="236"/>
      <c r="N587" s="237"/>
      <c r="O587" s="148"/>
      <c r="P587" s="243"/>
      <c r="Q587" s="241"/>
      <c r="R587" s="241"/>
      <c r="S587" s="236"/>
      <c r="T587" s="237"/>
      <c r="U587" s="243"/>
      <c r="V587" s="241"/>
      <c r="W587" s="241"/>
      <c r="X587" s="236"/>
      <c r="Y587" s="232"/>
      <c r="AA587" s="241"/>
      <c r="AB587" s="245"/>
      <c r="AC587" s="241"/>
      <c r="AD587" s="241"/>
      <c r="AE587" s="241"/>
      <c r="AF587" s="241"/>
      <c r="AG587" s="241"/>
      <c r="AH587" s="241"/>
      <c r="AI587" s="241"/>
      <c r="AJ587" s="241"/>
      <c r="AK587" s="241"/>
      <c r="AL587" s="241"/>
      <c r="AM587" s="241"/>
      <c r="AN587" s="241"/>
      <c r="AO587" s="245"/>
      <c r="AP587" s="241"/>
      <c r="AQ587" s="241"/>
      <c r="AR587" s="241"/>
      <c r="AS587" s="241"/>
      <c r="AT587" s="241"/>
      <c r="AU587" s="241"/>
      <c r="AV587" s="241"/>
      <c r="AW587" s="241"/>
      <c r="AX587" s="241"/>
      <c r="AY587" s="241"/>
      <c r="AZ587" s="241"/>
      <c r="BA587" s="241"/>
    </row>
    <row r="588" spans="1:53" s="138" customFormat="1" outlineLevel="2" x14ac:dyDescent="0.25">
      <c r="A588" s="138" t="s">
        <v>1596</v>
      </c>
      <c r="B588" s="139" t="s">
        <v>1597</v>
      </c>
      <c r="C588" s="140" t="s">
        <v>1598</v>
      </c>
      <c r="D588" s="141"/>
      <c r="E588" s="142"/>
      <c r="F588" s="143">
        <v>24.150000000000002</v>
      </c>
      <c r="G588" s="143">
        <v>36.39</v>
      </c>
      <c r="H588" s="144">
        <f t="shared" ref="H588:H595" si="172">+F588-G588</f>
        <v>-12.239999999999998</v>
      </c>
      <c r="I588" s="145">
        <f t="shared" ref="I588:I595" si="173">IF(G588&lt;0,IF(H588=0,0,IF(OR(G588=0,F588=0),"N.M.",IF(ABS(H588/G588)&gt;=10,"N.M.",H588/(-G588)))),IF(H588=0,0,IF(OR(G588=0,F588=0),"N.M.",IF(ABS(H588/G588)&gt;=10,"N.M.",H588/G588))))</f>
        <v>-0.33635614179719697</v>
      </c>
      <c r="J588" s="146"/>
      <c r="K588" s="143">
        <v>351.43</v>
      </c>
      <c r="L588" s="143">
        <v>36.39</v>
      </c>
      <c r="M588" s="144">
        <f t="shared" ref="M588:M595" si="174">+K588-L588</f>
        <v>315.04000000000002</v>
      </c>
      <c r="N588" s="145">
        <f t="shared" ref="N588:N595" si="175">IF(L588&lt;0,IF(M588=0,0,IF(OR(L588=0,K588=0),"N.M.",IF(ABS(M588/L588)&gt;=10,"N.M.",M588/(-L588)))),IF(M588=0,0,IF(OR(L588=0,K588=0),"N.M.",IF(ABS(M588/L588)&gt;=10,"N.M.",M588/L588))))</f>
        <v>8.6573234405056336</v>
      </c>
      <c r="O588" s="147"/>
      <c r="P588" s="146"/>
      <c r="Q588" s="143">
        <v>291.84000000000003</v>
      </c>
      <c r="R588" s="143">
        <v>1420.69</v>
      </c>
      <c r="S588" s="144">
        <f t="shared" ref="S588:S595" si="176">+Q588-R588</f>
        <v>-1128.8499999999999</v>
      </c>
      <c r="T588" s="145">
        <f t="shared" ref="T588:T595" si="177">IF(R588&lt;0,IF(S588=0,0,IF(OR(R588=0,Q588=0),"N.M.",IF(ABS(S588/R588)&gt;=10,"N.M.",S588/(-R588)))),IF(S588=0,0,IF(OR(R588=0,Q588=0),"N.M.",IF(ABS(S588/R588)&gt;=10,"N.M.",S588/R588))))</f>
        <v>-0.79457869063624009</v>
      </c>
      <c r="U588" s="146"/>
      <c r="V588" s="143">
        <v>73386.080000000002</v>
      </c>
      <c r="W588" s="143">
        <v>-2137284.17</v>
      </c>
      <c r="X588" s="144">
        <f t="shared" ref="X588:X595" si="178">+V588-W588</f>
        <v>2210670.25</v>
      </c>
      <c r="Y588" s="145">
        <f t="shared" ref="Y588:Y595" si="179">IF(W588&lt;0,IF(X588=0,0,IF(OR(W588=0,V588=0),"N.M.",IF(ABS(X588/W588)&gt;=10,"N.M.",X588/(-W588)))),IF(X588=0,0,IF(OR(W588=0,V588=0),"N.M.",IF(ABS(X588/W588)&gt;=10,"N.M.",X588/W588))))</f>
        <v>1.034336136031925</v>
      </c>
      <c r="Z588" s="148"/>
      <c r="AA588" s="149">
        <v>1384.3</v>
      </c>
      <c r="AB588" s="150"/>
      <c r="AC588" s="117">
        <v>0</v>
      </c>
      <c r="AD588" s="117">
        <v>36.39</v>
      </c>
      <c r="AE588" s="117">
        <v>0</v>
      </c>
      <c r="AF588" s="117">
        <v>1065.3399999999999</v>
      </c>
      <c r="AG588" s="117">
        <v>48024.840000000004</v>
      </c>
      <c r="AH588" s="117">
        <v>2285.33</v>
      </c>
      <c r="AI588" s="117">
        <v>20087.650000000001</v>
      </c>
      <c r="AJ588" s="117">
        <v>0</v>
      </c>
      <c r="AK588" s="117">
        <v>0</v>
      </c>
      <c r="AL588" s="117">
        <v>1075.42</v>
      </c>
      <c r="AM588" s="117">
        <v>555.66</v>
      </c>
      <c r="AN588" s="117">
        <v>-59.59</v>
      </c>
      <c r="AO588" s="150"/>
      <c r="AP588" s="117">
        <v>327.28000000000003</v>
      </c>
      <c r="AQ588" s="117">
        <v>24.150000000000002</v>
      </c>
      <c r="AR588" s="117">
        <v>0</v>
      </c>
      <c r="AS588" s="117">
        <v>0</v>
      </c>
      <c r="AT588" s="117">
        <v>0</v>
      </c>
      <c r="AU588" s="117">
        <v>0</v>
      </c>
      <c r="AV588" s="117">
        <v>0</v>
      </c>
      <c r="AW588" s="117">
        <v>0</v>
      </c>
      <c r="AX588" s="117">
        <v>0</v>
      </c>
      <c r="AY588" s="117">
        <v>0</v>
      </c>
      <c r="AZ588" s="117">
        <v>0</v>
      </c>
      <c r="BA588" s="117">
        <v>0</v>
      </c>
    </row>
    <row r="589" spans="1:53" s="138" customFormat="1" outlineLevel="2" x14ac:dyDescent="0.25">
      <c r="A589" s="138" t="s">
        <v>1599</v>
      </c>
      <c r="B589" s="139" t="s">
        <v>1600</v>
      </c>
      <c r="C589" s="140" t="s">
        <v>1601</v>
      </c>
      <c r="D589" s="141"/>
      <c r="E589" s="142"/>
      <c r="F589" s="143">
        <v>1778.02</v>
      </c>
      <c r="G589" s="143">
        <v>19615.920000000002</v>
      </c>
      <c r="H589" s="144">
        <f t="shared" si="172"/>
        <v>-17837.900000000001</v>
      </c>
      <c r="I589" s="145">
        <f t="shared" si="173"/>
        <v>-0.9093583171220111</v>
      </c>
      <c r="J589" s="146"/>
      <c r="K589" s="143">
        <v>2734.2400000000002</v>
      </c>
      <c r="L589" s="143">
        <v>23512.98</v>
      </c>
      <c r="M589" s="144">
        <f t="shared" si="174"/>
        <v>-20778.739999999998</v>
      </c>
      <c r="N589" s="145">
        <f t="shared" si="175"/>
        <v>-0.88371359138654471</v>
      </c>
      <c r="O589" s="147"/>
      <c r="P589" s="146"/>
      <c r="Q589" s="143">
        <v>5121.41</v>
      </c>
      <c r="R589" s="143">
        <v>25442.52</v>
      </c>
      <c r="S589" s="144">
        <f t="shared" si="176"/>
        <v>-20321.11</v>
      </c>
      <c r="T589" s="145">
        <f t="shared" si="177"/>
        <v>-0.79870665327176715</v>
      </c>
      <c r="U589" s="146"/>
      <c r="V589" s="143">
        <v>55405.799999999996</v>
      </c>
      <c r="W589" s="143">
        <v>58854.34</v>
      </c>
      <c r="X589" s="144">
        <f t="shared" si="178"/>
        <v>-3448.5400000000009</v>
      </c>
      <c r="Y589" s="145">
        <f t="shared" si="179"/>
        <v>-5.8594489378353425E-2</v>
      </c>
      <c r="Z589" s="148"/>
      <c r="AA589" s="149">
        <v>1929.54</v>
      </c>
      <c r="AB589" s="150"/>
      <c r="AC589" s="117">
        <v>3897.06</v>
      </c>
      <c r="AD589" s="117">
        <v>19615.920000000002</v>
      </c>
      <c r="AE589" s="117">
        <v>593.38</v>
      </c>
      <c r="AF589" s="117">
        <v>5417.52</v>
      </c>
      <c r="AG589" s="117">
        <v>9002.64</v>
      </c>
      <c r="AH589" s="117">
        <v>6376.03</v>
      </c>
      <c r="AI589" s="117">
        <v>2732.41</v>
      </c>
      <c r="AJ589" s="117">
        <v>2031.23</v>
      </c>
      <c r="AK589" s="117">
        <v>13986.44</v>
      </c>
      <c r="AL589" s="117">
        <v>2123.92</v>
      </c>
      <c r="AM589" s="117">
        <v>8020.8200000000006</v>
      </c>
      <c r="AN589" s="117">
        <v>2387.17</v>
      </c>
      <c r="AO589" s="150"/>
      <c r="AP589" s="117">
        <v>956.22</v>
      </c>
      <c r="AQ589" s="117">
        <v>1778.02</v>
      </c>
      <c r="AR589" s="117">
        <v>360</v>
      </c>
      <c r="AS589" s="117">
        <v>0</v>
      </c>
      <c r="AT589" s="117">
        <v>0</v>
      </c>
      <c r="AU589" s="117">
        <v>0</v>
      </c>
      <c r="AV589" s="117">
        <v>0</v>
      </c>
      <c r="AW589" s="117">
        <v>0</v>
      </c>
      <c r="AX589" s="117">
        <v>0</v>
      </c>
      <c r="AY589" s="117">
        <v>0</v>
      </c>
      <c r="AZ589" s="117">
        <v>0</v>
      </c>
      <c r="BA589" s="117">
        <v>0</v>
      </c>
    </row>
    <row r="590" spans="1:53" s="138" customFormat="1" outlineLevel="2" x14ac:dyDescent="0.25">
      <c r="A590" s="138" t="s">
        <v>1602</v>
      </c>
      <c r="B590" s="139" t="s">
        <v>1603</v>
      </c>
      <c r="C590" s="140" t="s">
        <v>1604</v>
      </c>
      <c r="D590" s="141"/>
      <c r="E590" s="142"/>
      <c r="F590" s="143">
        <v>595.37</v>
      </c>
      <c r="G590" s="143">
        <v>1276.7</v>
      </c>
      <c r="H590" s="144">
        <f t="shared" si="172"/>
        <v>-681.33</v>
      </c>
      <c r="I590" s="145">
        <f t="shared" si="173"/>
        <v>-0.53366491736508181</v>
      </c>
      <c r="J590" s="146"/>
      <c r="K590" s="143">
        <v>595.37</v>
      </c>
      <c r="L590" s="143">
        <v>2250.9299999999998</v>
      </c>
      <c r="M590" s="144">
        <f t="shared" si="174"/>
        <v>-1655.56</v>
      </c>
      <c r="N590" s="145">
        <f t="shared" si="175"/>
        <v>-0.73550043759690442</v>
      </c>
      <c r="O590" s="147"/>
      <c r="P590" s="146"/>
      <c r="Q590" s="143">
        <v>3088.7599999999998</v>
      </c>
      <c r="R590" s="143">
        <v>4313.46</v>
      </c>
      <c r="S590" s="144">
        <f t="shared" si="176"/>
        <v>-1224.7000000000003</v>
      </c>
      <c r="T590" s="145">
        <f t="shared" si="177"/>
        <v>-0.28392520157831536</v>
      </c>
      <c r="U590" s="146"/>
      <c r="V590" s="143">
        <v>13371.61</v>
      </c>
      <c r="W590" s="143">
        <v>11617.58</v>
      </c>
      <c r="X590" s="144">
        <f t="shared" si="178"/>
        <v>1754.0300000000007</v>
      </c>
      <c r="Y590" s="145">
        <f t="shared" si="179"/>
        <v>0.15098066895170945</v>
      </c>
      <c r="Z590" s="148"/>
      <c r="AA590" s="149">
        <v>2062.5300000000002</v>
      </c>
      <c r="AB590" s="150"/>
      <c r="AC590" s="117">
        <v>974.23</v>
      </c>
      <c r="AD590" s="117">
        <v>1276.7</v>
      </c>
      <c r="AE590" s="117">
        <v>1302.1000000000001</v>
      </c>
      <c r="AF590" s="117">
        <v>1330.1100000000001</v>
      </c>
      <c r="AG590" s="117">
        <v>1306.3800000000001</v>
      </c>
      <c r="AH590" s="117">
        <v>1262.3900000000001</v>
      </c>
      <c r="AI590" s="117">
        <v>1279.6500000000001</v>
      </c>
      <c r="AJ590" s="117">
        <v>0</v>
      </c>
      <c r="AK590" s="117">
        <v>1344.32</v>
      </c>
      <c r="AL590" s="117">
        <v>2457.9</v>
      </c>
      <c r="AM590" s="117">
        <v>0</v>
      </c>
      <c r="AN590" s="117">
        <v>2493.39</v>
      </c>
      <c r="AO590" s="150"/>
      <c r="AP590" s="117">
        <v>0</v>
      </c>
      <c r="AQ590" s="117">
        <v>595.37</v>
      </c>
      <c r="AR590" s="117">
        <v>0</v>
      </c>
      <c r="AS590" s="117">
        <v>0</v>
      </c>
      <c r="AT590" s="117">
        <v>0</v>
      </c>
      <c r="AU590" s="117">
        <v>0</v>
      </c>
      <c r="AV590" s="117">
        <v>0</v>
      </c>
      <c r="AW590" s="117">
        <v>0</v>
      </c>
      <c r="AX590" s="117">
        <v>0</v>
      </c>
      <c r="AY590" s="117">
        <v>0</v>
      </c>
      <c r="AZ590" s="117">
        <v>0</v>
      </c>
      <c r="BA590" s="117">
        <v>0</v>
      </c>
    </row>
    <row r="591" spans="1:53" s="138" customFormat="1" outlineLevel="2" x14ac:dyDescent="0.25">
      <c r="A591" s="138" t="s">
        <v>1390</v>
      </c>
      <c r="B591" s="139" t="s">
        <v>1391</v>
      </c>
      <c r="C591" s="140" t="s">
        <v>1392</v>
      </c>
      <c r="D591" s="141"/>
      <c r="E591" s="142"/>
      <c r="F591" s="143">
        <v>98033.040000000008</v>
      </c>
      <c r="G591" s="143">
        <v>82471.11</v>
      </c>
      <c r="H591" s="144">
        <f t="shared" si="172"/>
        <v>15561.930000000008</v>
      </c>
      <c r="I591" s="145">
        <f t="shared" si="173"/>
        <v>0.18869553229003475</v>
      </c>
      <c r="J591" s="146"/>
      <c r="K591" s="143">
        <v>247201.57</v>
      </c>
      <c r="L591" s="143">
        <v>176913.77</v>
      </c>
      <c r="M591" s="144">
        <f t="shared" si="174"/>
        <v>70287.800000000017</v>
      </c>
      <c r="N591" s="145">
        <f t="shared" si="175"/>
        <v>0.39729976926047089</v>
      </c>
      <c r="O591" s="147"/>
      <c r="P591" s="146"/>
      <c r="Q591" s="143">
        <v>386072.99</v>
      </c>
      <c r="R591" s="143">
        <v>232834.84999999998</v>
      </c>
      <c r="S591" s="144">
        <f t="shared" si="176"/>
        <v>153238.14000000001</v>
      </c>
      <c r="T591" s="145">
        <f t="shared" si="177"/>
        <v>0.65814090974783213</v>
      </c>
      <c r="U591" s="146"/>
      <c r="V591" s="143">
        <v>1215902.01</v>
      </c>
      <c r="W591" s="143">
        <v>904758.22000000009</v>
      </c>
      <c r="X591" s="144">
        <f t="shared" si="178"/>
        <v>311143.78999999992</v>
      </c>
      <c r="Y591" s="145">
        <f t="shared" si="179"/>
        <v>0.34389716846120488</v>
      </c>
      <c r="Z591" s="148"/>
      <c r="AA591" s="149">
        <v>55921.08</v>
      </c>
      <c r="AB591" s="150"/>
      <c r="AC591" s="117">
        <v>94442.66</v>
      </c>
      <c r="AD591" s="117">
        <v>82471.11</v>
      </c>
      <c r="AE591" s="117">
        <v>81956.44</v>
      </c>
      <c r="AF591" s="117">
        <v>72617.600000000006</v>
      </c>
      <c r="AG591" s="117">
        <v>97037.47</v>
      </c>
      <c r="AH591" s="117">
        <v>99639.21</v>
      </c>
      <c r="AI591" s="117">
        <v>106163.8</v>
      </c>
      <c r="AJ591" s="117">
        <v>89837.59</v>
      </c>
      <c r="AK591" s="117">
        <v>93968.12</v>
      </c>
      <c r="AL591" s="117">
        <v>86681.290000000008</v>
      </c>
      <c r="AM591" s="117">
        <v>101927.5</v>
      </c>
      <c r="AN591" s="117">
        <v>138871.42000000001</v>
      </c>
      <c r="AO591" s="150"/>
      <c r="AP591" s="117">
        <v>149168.53</v>
      </c>
      <c r="AQ591" s="117">
        <v>98033.040000000008</v>
      </c>
      <c r="AR591" s="117">
        <v>24751.119999999999</v>
      </c>
      <c r="AS591" s="117">
        <v>0</v>
      </c>
      <c r="AT591" s="117">
        <v>0</v>
      </c>
      <c r="AU591" s="117">
        <v>0</v>
      </c>
      <c r="AV591" s="117">
        <v>0</v>
      </c>
      <c r="AW591" s="117">
        <v>0</v>
      </c>
      <c r="AX591" s="117">
        <v>0</v>
      </c>
      <c r="AY591" s="117">
        <v>0</v>
      </c>
      <c r="AZ591" s="117">
        <v>0</v>
      </c>
      <c r="BA591" s="117">
        <v>0</v>
      </c>
    </row>
    <row r="592" spans="1:53" s="138" customFormat="1" outlineLevel="2" x14ac:dyDescent="0.25">
      <c r="A592" s="138" t="s">
        <v>1393</v>
      </c>
      <c r="B592" s="139" t="s">
        <v>1394</v>
      </c>
      <c r="C592" s="140" t="s">
        <v>1395</v>
      </c>
      <c r="D592" s="141"/>
      <c r="E592" s="142"/>
      <c r="F592" s="143">
        <v>125257.79000000001</v>
      </c>
      <c r="G592" s="143">
        <v>171719.62</v>
      </c>
      <c r="H592" s="144">
        <f t="shared" si="172"/>
        <v>-46461.829999999987</v>
      </c>
      <c r="I592" s="145">
        <f t="shared" si="173"/>
        <v>-0.27056797586670639</v>
      </c>
      <c r="J592" s="146"/>
      <c r="K592" s="143">
        <v>278793.69</v>
      </c>
      <c r="L592" s="143">
        <v>324758.28000000003</v>
      </c>
      <c r="M592" s="144">
        <f t="shared" si="174"/>
        <v>-45964.590000000026</v>
      </c>
      <c r="N592" s="145">
        <f t="shared" si="175"/>
        <v>-0.14153477472537426</v>
      </c>
      <c r="O592" s="147"/>
      <c r="P592" s="146"/>
      <c r="Q592" s="143">
        <v>427200.56</v>
      </c>
      <c r="R592" s="143">
        <v>488911.66000000003</v>
      </c>
      <c r="S592" s="144">
        <f t="shared" si="176"/>
        <v>-61711.100000000035</v>
      </c>
      <c r="T592" s="145">
        <f t="shared" si="177"/>
        <v>-0.12622137095278119</v>
      </c>
      <c r="U592" s="146"/>
      <c r="V592" s="143">
        <v>1636590.19</v>
      </c>
      <c r="W592" s="143">
        <v>2075032.1700000002</v>
      </c>
      <c r="X592" s="144">
        <f t="shared" si="178"/>
        <v>-438441.98000000021</v>
      </c>
      <c r="Y592" s="145">
        <f t="shared" si="179"/>
        <v>-0.21129406393733172</v>
      </c>
      <c r="Z592" s="148"/>
      <c r="AA592" s="149">
        <v>164153.38</v>
      </c>
      <c r="AB592" s="150"/>
      <c r="AC592" s="117">
        <v>153038.66</v>
      </c>
      <c r="AD592" s="117">
        <v>171719.62</v>
      </c>
      <c r="AE592" s="117">
        <v>152859.59</v>
      </c>
      <c r="AF592" s="117">
        <v>129431.2</v>
      </c>
      <c r="AG592" s="117">
        <v>119665.79000000001</v>
      </c>
      <c r="AH592" s="117">
        <v>147917.47</v>
      </c>
      <c r="AI592" s="117">
        <v>133391.62</v>
      </c>
      <c r="AJ592" s="117">
        <v>149633.83000000002</v>
      </c>
      <c r="AK592" s="117">
        <v>148628.01</v>
      </c>
      <c r="AL592" s="117">
        <v>115661.74</v>
      </c>
      <c r="AM592" s="117">
        <v>112200.38</v>
      </c>
      <c r="AN592" s="117">
        <v>148406.87</v>
      </c>
      <c r="AO592" s="150"/>
      <c r="AP592" s="117">
        <v>153535.9</v>
      </c>
      <c r="AQ592" s="117">
        <v>125257.79000000001</v>
      </c>
      <c r="AR592" s="117">
        <v>0</v>
      </c>
      <c r="AS592" s="117">
        <v>0</v>
      </c>
      <c r="AT592" s="117">
        <v>0</v>
      </c>
      <c r="AU592" s="117">
        <v>0</v>
      </c>
      <c r="AV592" s="117">
        <v>0</v>
      </c>
      <c r="AW592" s="117">
        <v>0</v>
      </c>
      <c r="AX592" s="117">
        <v>0</v>
      </c>
      <c r="AY592" s="117">
        <v>0</v>
      </c>
      <c r="AZ592" s="117">
        <v>0</v>
      </c>
      <c r="BA592" s="117">
        <v>0</v>
      </c>
    </row>
    <row r="593" spans="1:53" s="138" customFormat="1" outlineLevel="2" x14ac:dyDescent="0.25">
      <c r="A593" s="138" t="s">
        <v>1605</v>
      </c>
      <c r="B593" s="139" t="s">
        <v>1606</v>
      </c>
      <c r="C593" s="140" t="s">
        <v>1607</v>
      </c>
      <c r="D593" s="141"/>
      <c r="E593" s="142"/>
      <c r="F593" s="143">
        <v>0</v>
      </c>
      <c r="G593" s="143">
        <v>0</v>
      </c>
      <c r="H593" s="144">
        <f t="shared" si="172"/>
        <v>0</v>
      </c>
      <c r="I593" s="145">
        <f t="shared" si="173"/>
        <v>0</v>
      </c>
      <c r="J593" s="146"/>
      <c r="K593" s="143">
        <v>0</v>
      </c>
      <c r="L593" s="143">
        <v>0</v>
      </c>
      <c r="M593" s="144">
        <f t="shared" si="174"/>
        <v>0</v>
      </c>
      <c r="N593" s="145">
        <f t="shared" si="175"/>
        <v>0</v>
      </c>
      <c r="O593" s="147"/>
      <c r="P593" s="146"/>
      <c r="Q593" s="143">
        <v>0</v>
      </c>
      <c r="R593" s="143">
        <v>1832.66</v>
      </c>
      <c r="S593" s="144">
        <f t="shared" si="176"/>
        <v>-1832.66</v>
      </c>
      <c r="T593" s="145" t="str">
        <f t="shared" si="177"/>
        <v>N.M.</v>
      </c>
      <c r="U593" s="146"/>
      <c r="V593" s="143">
        <v>0</v>
      </c>
      <c r="W593" s="143">
        <v>1832.66</v>
      </c>
      <c r="X593" s="144">
        <f t="shared" si="178"/>
        <v>-1832.66</v>
      </c>
      <c r="Y593" s="145" t="str">
        <f t="shared" si="179"/>
        <v>N.M.</v>
      </c>
      <c r="Z593" s="148"/>
      <c r="AA593" s="149">
        <v>1832.66</v>
      </c>
      <c r="AB593" s="150"/>
      <c r="AC593" s="117">
        <v>0</v>
      </c>
      <c r="AD593" s="117">
        <v>0</v>
      </c>
      <c r="AE593" s="117">
        <v>0</v>
      </c>
      <c r="AF593" s="117">
        <v>0</v>
      </c>
      <c r="AG593" s="117">
        <v>0</v>
      </c>
      <c r="AH593" s="117">
        <v>0</v>
      </c>
      <c r="AI593" s="117">
        <v>0</v>
      </c>
      <c r="AJ593" s="117">
        <v>0</v>
      </c>
      <c r="AK593" s="117">
        <v>0</v>
      </c>
      <c r="AL593" s="117">
        <v>0</v>
      </c>
      <c r="AM593" s="117">
        <v>0</v>
      </c>
      <c r="AN593" s="117">
        <v>0</v>
      </c>
      <c r="AO593" s="150"/>
      <c r="AP593" s="117">
        <v>0</v>
      </c>
      <c r="AQ593" s="117">
        <v>0</v>
      </c>
      <c r="AR593" s="117">
        <v>0</v>
      </c>
      <c r="AS593" s="117">
        <v>0</v>
      </c>
      <c r="AT593" s="117">
        <v>0</v>
      </c>
      <c r="AU593" s="117">
        <v>0</v>
      </c>
      <c r="AV593" s="117">
        <v>0</v>
      </c>
      <c r="AW593" s="117">
        <v>0</v>
      </c>
      <c r="AX593" s="117">
        <v>0</v>
      </c>
      <c r="AY593" s="117">
        <v>0</v>
      </c>
      <c r="AZ593" s="117">
        <v>0</v>
      </c>
      <c r="BA593" s="117">
        <v>0</v>
      </c>
    </row>
    <row r="594" spans="1:53" s="138" customFormat="1" outlineLevel="2" x14ac:dyDescent="0.25">
      <c r="A594" s="138" t="s">
        <v>1608</v>
      </c>
      <c r="B594" s="139" t="s">
        <v>1609</v>
      </c>
      <c r="C594" s="140" t="s">
        <v>1610</v>
      </c>
      <c r="D594" s="141"/>
      <c r="E594" s="142"/>
      <c r="F594" s="143">
        <v>0</v>
      </c>
      <c r="G594" s="143">
        <v>0</v>
      </c>
      <c r="H594" s="144">
        <f t="shared" si="172"/>
        <v>0</v>
      </c>
      <c r="I594" s="145">
        <f t="shared" si="173"/>
        <v>0</v>
      </c>
      <c r="J594" s="146"/>
      <c r="K594" s="143">
        <v>0</v>
      </c>
      <c r="L594" s="143">
        <v>0</v>
      </c>
      <c r="M594" s="144">
        <f t="shared" si="174"/>
        <v>0</v>
      </c>
      <c r="N594" s="145">
        <f t="shared" si="175"/>
        <v>0</v>
      </c>
      <c r="O594" s="147"/>
      <c r="P594" s="146"/>
      <c r="Q594" s="143">
        <v>0</v>
      </c>
      <c r="R594" s="143">
        <v>0</v>
      </c>
      <c r="S594" s="144">
        <f t="shared" si="176"/>
        <v>0</v>
      </c>
      <c r="T594" s="145">
        <f t="shared" si="177"/>
        <v>0</v>
      </c>
      <c r="U594" s="146"/>
      <c r="V594" s="143">
        <v>754.08</v>
      </c>
      <c r="W594" s="143">
        <v>0</v>
      </c>
      <c r="X594" s="144">
        <f t="shared" si="178"/>
        <v>754.08</v>
      </c>
      <c r="Y594" s="145" t="str">
        <f t="shared" si="179"/>
        <v>N.M.</v>
      </c>
      <c r="Z594" s="148"/>
      <c r="AA594" s="149">
        <v>0</v>
      </c>
      <c r="AB594" s="150"/>
      <c r="AC594" s="117">
        <v>0</v>
      </c>
      <c r="AD594" s="117">
        <v>0</v>
      </c>
      <c r="AE594" s="117">
        <v>0</v>
      </c>
      <c r="AF594" s="117">
        <v>0</v>
      </c>
      <c r="AG594" s="117">
        <v>0</v>
      </c>
      <c r="AH594" s="117">
        <v>0</v>
      </c>
      <c r="AI594" s="117">
        <v>0</v>
      </c>
      <c r="AJ594" s="117">
        <v>0</v>
      </c>
      <c r="AK594" s="117">
        <v>0</v>
      </c>
      <c r="AL594" s="117">
        <v>754.08</v>
      </c>
      <c r="AM594" s="117">
        <v>0</v>
      </c>
      <c r="AN594" s="117">
        <v>0</v>
      </c>
      <c r="AO594" s="150"/>
      <c r="AP594" s="117">
        <v>0</v>
      </c>
      <c r="AQ594" s="117">
        <v>0</v>
      </c>
      <c r="AR594" s="117">
        <v>0</v>
      </c>
      <c r="AS594" s="117">
        <v>0</v>
      </c>
      <c r="AT594" s="117">
        <v>0</v>
      </c>
      <c r="AU594" s="117">
        <v>0</v>
      </c>
      <c r="AV594" s="117">
        <v>0</v>
      </c>
      <c r="AW594" s="117">
        <v>0</v>
      </c>
      <c r="AX594" s="117">
        <v>0</v>
      </c>
      <c r="AY594" s="117">
        <v>0</v>
      </c>
      <c r="AZ594" s="117">
        <v>0</v>
      </c>
      <c r="BA594" s="117">
        <v>0</v>
      </c>
    </row>
    <row r="595" spans="1:53" s="244" customFormat="1" x14ac:dyDescent="0.25">
      <c r="A595" s="211" t="s">
        <v>1611</v>
      </c>
      <c r="B595" s="212" t="s">
        <v>1612</v>
      </c>
      <c r="C595" s="264" t="s">
        <v>1613</v>
      </c>
      <c r="D595" s="265"/>
      <c r="E595" s="265"/>
      <c r="F595" s="266">
        <v>225688.37</v>
      </c>
      <c r="G595" s="266">
        <v>275119.74</v>
      </c>
      <c r="H595" s="267">
        <f t="shared" si="172"/>
        <v>-49431.369999999995</v>
      </c>
      <c r="I595" s="268">
        <f t="shared" si="173"/>
        <v>-0.17967220381932608</v>
      </c>
      <c r="J595" s="269"/>
      <c r="K595" s="266">
        <v>529676.30000000005</v>
      </c>
      <c r="L595" s="266">
        <v>527472.35</v>
      </c>
      <c r="M595" s="267">
        <f t="shared" si="174"/>
        <v>2203.9500000000698</v>
      </c>
      <c r="N595" s="268">
        <f t="shared" si="175"/>
        <v>4.1783232808318199E-3</v>
      </c>
      <c r="O595" s="270"/>
      <c r="P595" s="271"/>
      <c r="Q595" s="266">
        <v>821775.56</v>
      </c>
      <c r="R595" s="266">
        <v>754755.84000000008</v>
      </c>
      <c r="S595" s="267">
        <f t="shared" si="176"/>
        <v>67019.719999999972</v>
      </c>
      <c r="T595" s="268">
        <f t="shared" si="177"/>
        <v>8.8796557042870927E-2</v>
      </c>
      <c r="U595" s="271"/>
      <c r="V595" s="266">
        <v>2995409.7700000005</v>
      </c>
      <c r="W595" s="266">
        <v>914810.8</v>
      </c>
      <c r="X595" s="267">
        <f t="shared" si="178"/>
        <v>2080598.9700000004</v>
      </c>
      <c r="Y595" s="272">
        <f t="shared" si="179"/>
        <v>2.274348936413956</v>
      </c>
      <c r="Z595" s="273"/>
      <c r="AA595" s="266">
        <v>227283.49000000002</v>
      </c>
      <c r="AB595" s="274"/>
      <c r="AC595" s="266">
        <v>252352.61</v>
      </c>
      <c r="AD595" s="266">
        <v>275119.74</v>
      </c>
      <c r="AE595" s="266">
        <v>236711.51</v>
      </c>
      <c r="AF595" s="266">
        <v>209861.77000000002</v>
      </c>
      <c r="AG595" s="266">
        <v>275037.12</v>
      </c>
      <c r="AH595" s="266">
        <v>257480.43</v>
      </c>
      <c r="AI595" s="266">
        <v>263655.13</v>
      </c>
      <c r="AJ595" s="266">
        <v>241502.65000000002</v>
      </c>
      <c r="AK595" s="266">
        <v>257926.89</v>
      </c>
      <c r="AL595" s="266">
        <v>208754.35</v>
      </c>
      <c r="AM595" s="266">
        <v>222704.36</v>
      </c>
      <c r="AN595" s="266">
        <v>292099.26</v>
      </c>
      <c r="AO595" s="274"/>
      <c r="AP595" s="266">
        <v>303987.93</v>
      </c>
      <c r="AQ595" s="266">
        <v>225688.37</v>
      </c>
      <c r="AR595" s="266">
        <v>25111.119999999999</v>
      </c>
      <c r="AS595" s="266">
        <v>0</v>
      </c>
      <c r="AT595" s="266">
        <v>0</v>
      </c>
      <c r="AU595" s="266">
        <v>0</v>
      </c>
      <c r="AV595" s="266">
        <v>0</v>
      </c>
      <c r="AW595" s="266">
        <v>0</v>
      </c>
      <c r="AX595" s="266">
        <v>0</v>
      </c>
      <c r="AY595" s="266">
        <v>0</v>
      </c>
      <c r="AZ595" s="266">
        <v>0</v>
      </c>
      <c r="BA595" s="266">
        <v>0</v>
      </c>
    </row>
    <row r="596" spans="1:53" s="244" customFormat="1" ht="0.75" customHeight="1" outlineLevel="2" x14ac:dyDescent="0.25">
      <c r="A596" s="211"/>
      <c r="B596" s="212"/>
      <c r="C596" s="238"/>
      <c r="D596" s="246"/>
      <c r="E596" s="246"/>
      <c r="F596" s="241"/>
      <c r="G596" s="241"/>
      <c r="H596" s="236"/>
      <c r="I596" s="237"/>
      <c r="J596" s="242"/>
      <c r="K596" s="241"/>
      <c r="L596" s="241"/>
      <c r="M596" s="236"/>
      <c r="N596" s="237"/>
      <c r="O596" s="148"/>
      <c r="P596" s="243"/>
      <c r="Q596" s="241"/>
      <c r="R596" s="241"/>
      <c r="S596" s="236"/>
      <c r="T596" s="237"/>
      <c r="U596" s="243"/>
      <c r="V596" s="241"/>
      <c r="W596" s="241"/>
      <c r="X596" s="236"/>
      <c r="Y596" s="232"/>
      <c r="AA596" s="241"/>
      <c r="AB596" s="245"/>
      <c r="AC596" s="241"/>
      <c r="AD596" s="241"/>
      <c r="AE596" s="241"/>
      <c r="AF596" s="241"/>
      <c r="AG596" s="241"/>
      <c r="AH596" s="241"/>
      <c r="AI596" s="241"/>
      <c r="AJ596" s="241"/>
      <c r="AK596" s="241"/>
      <c r="AL596" s="241"/>
      <c r="AM596" s="241"/>
      <c r="AN596" s="241"/>
      <c r="AO596" s="245"/>
      <c r="AP596" s="241"/>
      <c r="AQ596" s="241"/>
      <c r="AR596" s="241"/>
      <c r="AS596" s="241"/>
      <c r="AT596" s="241"/>
      <c r="AU596" s="241"/>
      <c r="AV596" s="241"/>
      <c r="AW596" s="241"/>
      <c r="AX596" s="241"/>
      <c r="AY596" s="241"/>
      <c r="AZ596" s="241"/>
      <c r="BA596" s="241"/>
    </row>
    <row r="597" spans="1:53" s="244" customFormat="1" x14ac:dyDescent="0.25">
      <c r="A597" s="211"/>
      <c r="B597" s="212" t="s">
        <v>1614</v>
      </c>
      <c r="C597" s="275" t="s">
        <v>1615</v>
      </c>
      <c r="D597" s="276"/>
      <c r="E597" s="276"/>
      <c r="F597" s="277">
        <f>+F595+F586+F583+F579+F577+F574+F572</f>
        <v>313215.13</v>
      </c>
      <c r="G597" s="277">
        <f>+G595+G586+G583+G579+G577+G574+G572</f>
        <v>386042.18</v>
      </c>
      <c r="H597" s="278">
        <f>+F597-G597</f>
        <v>-72827.049999999988</v>
      </c>
      <c r="I597" s="279">
        <f>IF(G597&lt;0,IF(H597=0,0,IF(OR(G597=0,F597=0),"N.M.",IF(ABS(H597/G597)&gt;=10,"N.M.",H597/(-G597)))),IF(H597=0,0,IF(OR(G597=0,F597=0),"N.M.",IF(ABS(H597/G597)&gt;=10,"N.M.",H597/G597))))</f>
        <v>-0.18865049927963828</v>
      </c>
      <c r="J597" s="242"/>
      <c r="K597" s="277">
        <f>+K595+K586+K583+K579+K577+K574+K572</f>
        <v>736208.89</v>
      </c>
      <c r="L597" s="277">
        <f>+L595+L586+L583+L579+L577+L574+L572</f>
        <v>740892.95000000007</v>
      </c>
      <c r="M597" s="278">
        <f>+K597-L597</f>
        <v>-4684.0600000000559</v>
      </c>
      <c r="N597" s="279">
        <f>IF(L597&lt;0,IF(M597=0,0,IF(OR(L597=0,K597=0),"N.M.",IF(ABS(M597/L597)&gt;=10,"N.M.",M597/(-L597)))),IF(M597=0,0,IF(OR(L597=0,K597=0),"N.M.",IF(ABS(M597/L597)&gt;=10,"N.M.",M597/L597))))</f>
        <v>-6.322181902257344E-3</v>
      </c>
      <c r="O597" s="181"/>
      <c r="P597" s="263"/>
      <c r="Q597" s="277">
        <f>+Q595+Q586+Q583+Q579+Q577+Q574+Q572</f>
        <v>4064076.3200000003</v>
      </c>
      <c r="R597" s="277">
        <f>+R595+R586+R583+R579+R577+R574+R572</f>
        <v>1082818.54</v>
      </c>
      <c r="S597" s="278">
        <f>+Q597-R597</f>
        <v>2981257.7800000003</v>
      </c>
      <c r="T597" s="279">
        <f>IF(R597&lt;0,IF(S597=0,0,IF(OR(R597=0,Q597=0),"N.M.",IF(ABS(S597/R597)&gt;=10,"N.M.",S597/(-R597)))),IF(S597=0,0,IF(OR(R597=0,Q597=0),"N.M.",IF(ABS(S597/R597)&gt;=10,"N.M.",S597/R597))))</f>
        <v>2.7532385804919817</v>
      </c>
      <c r="U597" s="263"/>
      <c r="V597" s="277">
        <f>+V595+V586+V583+V579+V577+V574+V572</f>
        <v>7141957.6300000008</v>
      </c>
      <c r="W597" s="277">
        <f>+W595+W586+W583+W579+W577+W574+W572</f>
        <v>1963912.3599999999</v>
      </c>
      <c r="X597" s="278">
        <f>+V597-W597</f>
        <v>5178045.2700000014</v>
      </c>
      <c r="Y597" s="280">
        <f>IF(W597&lt;0,IF(X597=0,0,IF(OR(W597=0,V597=0),"N.M.",IF(ABS(X597/W597)&gt;=10,"N.M.",X597/(-W597)))),IF(X597=0,0,IF(OR(W597=0,V597=0),"N.M.",IF(ABS(X597/W597)&gt;=10,"N.M.",X597/W597))))</f>
        <v>2.6365969151495139</v>
      </c>
      <c r="AA597" s="277">
        <f>+AA595+AA586+AA583+AA579+AA577+AA574+AA572</f>
        <v>341925.59</v>
      </c>
      <c r="AB597" s="245"/>
      <c r="AC597" s="277">
        <f t="shared" ref="AC597:AN597" si="180">+AC595+AC586+AC583+AC579+AC577+AC574+AC572</f>
        <v>354850.77</v>
      </c>
      <c r="AD597" s="277">
        <f t="shared" si="180"/>
        <v>386042.18</v>
      </c>
      <c r="AE597" s="277">
        <f t="shared" si="180"/>
        <v>342341.24</v>
      </c>
      <c r="AF597" s="277">
        <f t="shared" si="180"/>
        <v>290233.66000000003</v>
      </c>
      <c r="AG597" s="277">
        <f t="shared" si="180"/>
        <v>370083.06</v>
      </c>
      <c r="AH597" s="277">
        <f t="shared" si="180"/>
        <v>370916.9</v>
      </c>
      <c r="AI597" s="277">
        <f t="shared" si="180"/>
        <v>339489.74</v>
      </c>
      <c r="AJ597" s="277">
        <f t="shared" si="180"/>
        <v>310143.28000000003</v>
      </c>
      <c r="AK597" s="277">
        <f t="shared" si="180"/>
        <v>350176.04</v>
      </c>
      <c r="AL597" s="277">
        <f t="shared" si="180"/>
        <v>322323.39</v>
      </c>
      <c r="AM597" s="277">
        <f t="shared" si="180"/>
        <v>382174</v>
      </c>
      <c r="AN597" s="277">
        <f t="shared" si="180"/>
        <v>3327867.43</v>
      </c>
      <c r="AO597" s="245"/>
      <c r="AP597" s="277">
        <f t="shared" ref="AP597:BA597" si="181">+AP595+AP586+AP583+AP579+AP577+AP574+AP572</f>
        <v>422993.76</v>
      </c>
      <c r="AQ597" s="277">
        <f t="shared" si="181"/>
        <v>313215.13</v>
      </c>
      <c r="AR597" s="277">
        <f t="shared" si="181"/>
        <v>29274.959999999999</v>
      </c>
      <c r="AS597" s="277">
        <f t="shared" si="181"/>
        <v>0</v>
      </c>
      <c r="AT597" s="277">
        <f t="shared" si="181"/>
        <v>0</v>
      </c>
      <c r="AU597" s="277">
        <f t="shared" si="181"/>
        <v>0</v>
      </c>
      <c r="AV597" s="277">
        <f t="shared" si="181"/>
        <v>0</v>
      </c>
      <c r="AW597" s="277">
        <f t="shared" si="181"/>
        <v>0</v>
      </c>
      <c r="AX597" s="277">
        <f t="shared" si="181"/>
        <v>0</v>
      </c>
      <c r="AY597" s="277">
        <f t="shared" si="181"/>
        <v>0</v>
      </c>
      <c r="AZ597" s="277">
        <f t="shared" si="181"/>
        <v>0</v>
      </c>
      <c r="BA597" s="277">
        <f t="shared" si="181"/>
        <v>0</v>
      </c>
    </row>
    <row r="598" spans="1:53" s="211" customFormat="1" x14ac:dyDescent="0.25">
      <c r="B598" s="212" t="s">
        <v>1616</v>
      </c>
      <c r="C598" s="222" t="s">
        <v>1617</v>
      </c>
      <c r="D598" s="223"/>
      <c r="E598" s="223"/>
      <c r="F598" s="224"/>
      <c r="G598" s="224"/>
      <c r="H598" s="224"/>
      <c r="I598" s="224"/>
      <c r="J598" s="225"/>
      <c r="K598" s="226"/>
      <c r="L598" s="226"/>
      <c r="M598" s="226"/>
      <c r="N598" s="227"/>
      <c r="O598" s="224"/>
      <c r="P598" s="225"/>
      <c r="Q598" s="224"/>
      <c r="R598" s="224"/>
      <c r="S598" s="224"/>
      <c r="T598" s="224"/>
      <c r="U598" s="225"/>
      <c r="V598" s="224"/>
      <c r="W598" s="224"/>
      <c r="X598" s="224"/>
      <c r="Y598" s="224"/>
      <c r="Z598" s="224"/>
      <c r="AA598" s="226"/>
      <c r="AB598" s="228"/>
      <c r="AC598" s="226"/>
      <c r="AD598" s="226"/>
      <c r="AE598" s="226"/>
      <c r="AF598" s="226"/>
      <c r="AG598" s="226"/>
      <c r="AH598" s="226"/>
      <c r="AI598" s="226"/>
      <c r="AJ598" s="226"/>
      <c r="AK598" s="226"/>
      <c r="AL598" s="226"/>
      <c r="AM598" s="226"/>
      <c r="AN598" s="226"/>
      <c r="AO598" s="228"/>
      <c r="AP598" s="226"/>
      <c r="AQ598" s="226"/>
      <c r="AR598" s="226"/>
      <c r="AS598" s="226"/>
      <c r="AT598" s="226"/>
      <c r="AU598" s="226"/>
      <c r="AV598" s="226"/>
      <c r="AW598" s="226"/>
      <c r="AX598" s="226"/>
      <c r="AY598" s="226"/>
      <c r="AZ598" s="226"/>
      <c r="BA598" s="226"/>
    </row>
    <row r="599" spans="1:53" s="244" customFormat="1" ht="0.75" customHeight="1" outlineLevel="2" x14ac:dyDescent="0.25">
      <c r="A599" s="211"/>
      <c r="B599" s="212"/>
      <c r="C599" s="286"/>
      <c r="D599" s="287"/>
      <c r="E599" s="287"/>
      <c r="F599" s="288"/>
      <c r="G599" s="288"/>
      <c r="H599" s="288"/>
      <c r="I599" s="289"/>
      <c r="J599" s="242"/>
      <c r="K599" s="288"/>
      <c r="L599" s="288"/>
      <c r="M599" s="288"/>
      <c r="N599" s="289"/>
      <c r="O599" s="290"/>
      <c r="P599" s="291"/>
      <c r="Q599" s="288"/>
      <c r="R599" s="288"/>
      <c r="S599" s="288"/>
      <c r="T599" s="289"/>
      <c r="U599" s="291"/>
      <c r="V599" s="288"/>
      <c r="W599" s="288"/>
      <c r="X599" s="288"/>
      <c r="Y599" s="292"/>
      <c r="AA599" s="288"/>
      <c r="AB599" s="245"/>
      <c r="AC599" s="288"/>
      <c r="AD599" s="288"/>
      <c r="AE599" s="288"/>
      <c r="AF599" s="288"/>
      <c r="AG599" s="288"/>
      <c r="AH599" s="288"/>
      <c r="AI599" s="288"/>
      <c r="AJ599" s="288"/>
      <c r="AK599" s="288"/>
      <c r="AL599" s="288"/>
      <c r="AM599" s="288"/>
      <c r="AN599" s="288"/>
      <c r="AO599" s="245"/>
      <c r="AP599" s="288"/>
      <c r="AQ599" s="288"/>
      <c r="AR599" s="288"/>
      <c r="AS599" s="288"/>
      <c r="AT599" s="288"/>
      <c r="AU599" s="288"/>
      <c r="AV599" s="288"/>
      <c r="AW599" s="288"/>
      <c r="AX599" s="288"/>
      <c r="AY599" s="288"/>
      <c r="AZ599" s="288"/>
      <c r="BA599" s="288"/>
    </row>
    <row r="600" spans="1:53" s="138" customFormat="1" outlineLevel="2" x14ac:dyDescent="0.25">
      <c r="A600" s="138" t="s">
        <v>1618</v>
      </c>
      <c r="B600" s="139" t="s">
        <v>1619</v>
      </c>
      <c r="C600" s="140" t="s">
        <v>1284</v>
      </c>
      <c r="D600" s="141"/>
      <c r="E600" s="142"/>
      <c r="F600" s="143">
        <v>0</v>
      </c>
      <c r="G600" s="143">
        <v>0</v>
      </c>
      <c r="H600" s="144">
        <f>+F600-G600</f>
        <v>0</v>
      </c>
      <c r="I600" s="145">
        <f>IF(G600&lt;0,IF(H600=0,0,IF(OR(G600=0,F600=0),"N.M.",IF(ABS(H600/G600)&gt;=10,"N.M.",H600/(-G600)))),IF(H600=0,0,IF(OR(G600=0,F600=0),"N.M.",IF(ABS(H600/G600)&gt;=10,"N.M.",H600/G600))))</f>
        <v>0</v>
      </c>
      <c r="J600" s="146"/>
      <c r="K600" s="143">
        <v>0</v>
      </c>
      <c r="L600" s="143">
        <v>0</v>
      </c>
      <c r="M600" s="144">
        <f>+K600-L600</f>
        <v>0</v>
      </c>
      <c r="N600" s="145">
        <f>IF(L600&lt;0,IF(M600=0,0,IF(OR(L600=0,K600=0),"N.M.",IF(ABS(M600/L600)&gt;=10,"N.M.",M600/(-L600)))),IF(M600=0,0,IF(OR(L600=0,K600=0),"N.M.",IF(ABS(M600/L600)&gt;=10,"N.M.",M600/L600))))</f>
        <v>0</v>
      </c>
      <c r="O600" s="147"/>
      <c r="P600" s="146"/>
      <c r="Q600" s="143">
        <v>0</v>
      </c>
      <c r="R600" s="143">
        <v>2195</v>
      </c>
      <c r="S600" s="144">
        <f>+Q600-R600</f>
        <v>-2195</v>
      </c>
      <c r="T600" s="145" t="str">
        <f>IF(R600&lt;0,IF(S600=0,0,IF(OR(R600=0,Q600=0),"N.M.",IF(ABS(S600/R600)&gt;=10,"N.M.",S600/(-R600)))),IF(S600=0,0,IF(OR(R600=0,Q600=0),"N.M.",IF(ABS(S600/R600)&gt;=10,"N.M.",S600/R600))))</f>
        <v>N.M.</v>
      </c>
      <c r="U600" s="146"/>
      <c r="V600" s="143">
        <v>0</v>
      </c>
      <c r="W600" s="143">
        <v>37210.559999999998</v>
      </c>
      <c r="X600" s="144">
        <f>+V600-W600</f>
        <v>-37210.559999999998</v>
      </c>
      <c r="Y600" s="145" t="str">
        <f>IF(W600&lt;0,IF(X600=0,0,IF(OR(W600=0,V600=0),"N.M.",IF(ABS(X600/W600)&gt;=10,"N.M.",X600/(-W600)))),IF(X600=0,0,IF(OR(W600=0,V600=0),"N.M.",IF(ABS(X600/W600)&gt;=10,"N.M.",X600/W600))))</f>
        <v>N.M.</v>
      </c>
      <c r="Z600" s="148"/>
      <c r="AA600" s="149">
        <v>2195</v>
      </c>
      <c r="AB600" s="150"/>
      <c r="AC600" s="117">
        <v>0</v>
      </c>
      <c r="AD600" s="117">
        <v>0</v>
      </c>
      <c r="AE600" s="117">
        <v>0</v>
      </c>
      <c r="AF600" s="117">
        <v>0</v>
      </c>
      <c r="AG600" s="117">
        <v>0</v>
      </c>
      <c r="AH600" s="117">
        <v>0</v>
      </c>
      <c r="AI600" s="117">
        <v>0</v>
      </c>
      <c r="AJ600" s="117">
        <v>0</v>
      </c>
      <c r="AK600" s="117">
        <v>0</v>
      </c>
      <c r="AL600" s="117">
        <v>0</v>
      </c>
      <c r="AM600" s="117">
        <v>0</v>
      </c>
      <c r="AN600" s="117">
        <v>0</v>
      </c>
      <c r="AO600" s="150"/>
      <c r="AP600" s="117">
        <v>0</v>
      </c>
      <c r="AQ600" s="117">
        <v>0</v>
      </c>
      <c r="AR600" s="117">
        <v>0</v>
      </c>
      <c r="AS600" s="117">
        <v>0</v>
      </c>
      <c r="AT600" s="117">
        <v>0</v>
      </c>
      <c r="AU600" s="117">
        <v>0</v>
      </c>
      <c r="AV600" s="117">
        <v>0</v>
      </c>
      <c r="AW600" s="117">
        <v>0</v>
      </c>
      <c r="AX600" s="117">
        <v>0</v>
      </c>
      <c r="AY600" s="117">
        <v>0</v>
      </c>
      <c r="AZ600" s="117">
        <v>0</v>
      </c>
      <c r="BA600" s="117">
        <v>0</v>
      </c>
    </row>
    <row r="601" spans="1:53" s="138" customFormat="1" outlineLevel="2" x14ac:dyDescent="0.25">
      <c r="A601" s="138" t="s">
        <v>1620</v>
      </c>
      <c r="B601" s="139" t="s">
        <v>1621</v>
      </c>
      <c r="C601" s="140" t="s">
        <v>1284</v>
      </c>
      <c r="D601" s="141"/>
      <c r="E601" s="142"/>
      <c r="F601" s="143">
        <v>0</v>
      </c>
      <c r="G601" s="143">
        <v>1297</v>
      </c>
      <c r="H601" s="144">
        <f>+F601-G601</f>
        <v>-1297</v>
      </c>
      <c r="I601" s="145" t="str">
        <f>IF(G601&lt;0,IF(H601=0,0,IF(OR(G601=0,F601=0),"N.M.",IF(ABS(H601/G601)&gt;=10,"N.M.",H601/(-G601)))),IF(H601=0,0,IF(OR(G601=0,F601=0),"N.M.",IF(ABS(H601/G601)&gt;=10,"N.M.",H601/G601))))</f>
        <v>N.M.</v>
      </c>
      <c r="J601" s="146"/>
      <c r="K601" s="143">
        <v>0</v>
      </c>
      <c r="L601" s="143">
        <v>2594</v>
      </c>
      <c r="M601" s="144">
        <f>+K601-L601</f>
        <v>-2594</v>
      </c>
      <c r="N601" s="145" t="str">
        <f>IF(L601&lt;0,IF(M601=0,0,IF(OR(L601=0,K601=0),"N.M.",IF(ABS(M601/L601)&gt;=10,"N.M.",M601/(-L601)))),IF(M601=0,0,IF(OR(L601=0,K601=0),"N.M.",IF(ABS(M601/L601)&gt;=10,"N.M.",M601/L601))))</f>
        <v>N.M.</v>
      </c>
      <c r="O601" s="147"/>
      <c r="P601" s="146"/>
      <c r="Q601" s="143">
        <v>1297</v>
      </c>
      <c r="R601" s="143">
        <v>2791.48</v>
      </c>
      <c r="S601" s="144">
        <f>+Q601-R601</f>
        <v>-1494.48</v>
      </c>
      <c r="T601" s="145">
        <f>IF(R601&lt;0,IF(S601=0,0,IF(OR(R601=0,Q601=0),"N.M.",IF(ABS(S601/R601)&gt;=10,"N.M.",S601/(-R601)))),IF(S601=0,0,IF(OR(R601=0,Q601=0),"N.M.",IF(ABS(S601/R601)&gt;=10,"N.M.",S601/R601))))</f>
        <v>-0.53537191740582057</v>
      </c>
      <c r="U601" s="146"/>
      <c r="V601" s="143">
        <v>12970</v>
      </c>
      <c r="W601" s="143">
        <v>2791.48</v>
      </c>
      <c r="X601" s="144">
        <f>+V601-W601</f>
        <v>10178.52</v>
      </c>
      <c r="Y601" s="145">
        <f>IF(W601&lt;0,IF(X601=0,0,IF(OR(W601=0,V601=0),"N.M.",IF(ABS(X601/W601)&gt;=10,"N.M.",X601/(-W601)))),IF(X601=0,0,IF(OR(W601=0,V601=0),"N.M.",IF(ABS(X601/W601)&gt;=10,"N.M.",X601/W601))))</f>
        <v>3.6462808259417945</v>
      </c>
      <c r="Z601" s="148"/>
      <c r="AA601" s="149">
        <v>197.48000000000002</v>
      </c>
      <c r="AB601" s="150"/>
      <c r="AC601" s="117">
        <v>1297</v>
      </c>
      <c r="AD601" s="117">
        <v>1297</v>
      </c>
      <c r="AE601" s="117">
        <v>1297</v>
      </c>
      <c r="AF601" s="117">
        <v>1297</v>
      </c>
      <c r="AG601" s="117">
        <v>1297</v>
      </c>
      <c r="AH601" s="117">
        <v>1297</v>
      </c>
      <c r="AI601" s="117">
        <v>1297</v>
      </c>
      <c r="AJ601" s="117">
        <v>1297</v>
      </c>
      <c r="AK601" s="117">
        <v>1297</v>
      </c>
      <c r="AL601" s="117">
        <v>1297</v>
      </c>
      <c r="AM601" s="117">
        <v>1297</v>
      </c>
      <c r="AN601" s="117">
        <v>1297</v>
      </c>
      <c r="AO601" s="150"/>
      <c r="AP601" s="117">
        <v>0</v>
      </c>
      <c r="AQ601" s="117">
        <v>0</v>
      </c>
      <c r="AR601" s="117">
        <v>0</v>
      </c>
      <c r="AS601" s="117">
        <v>0</v>
      </c>
      <c r="AT601" s="117">
        <v>0</v>
      </c>
      <c r="AU601" s="117">
        <v>0</v>
      </c>
      <c r="AV601" s="117">
        <v>0</v>
      </c>
      <c r="AW601" s="117">
        <v>0</v>
      </c>
      <c r="AX601" s="117">
        <v>0</v>
      </c>
      <c r="AY601" s="117">
        <v>0</v>
      </c>
      <c r="AZ601" s="117">
        <v>0</v>
      </c>
      <c r="BA601" s="117">
        <v>0</v>
      </c>
    </row>
    <row r="602" spans="1:53" s="138" customFormat="1" outlineLevel="2" x14ac:dyDescent="0.25">
      <c r="A602" s="138" t="s">
        <v>1622</v>
      </c>
      <c r="B602" s="139" t="s">
        <v>1623</v>
      </c>
      <c r="C602" s="140" t="s">
        <v>1284</v>
      </c>
      <c r="D602" s="141"/>
      <c r="E602" s="142"/>
      <c r="F602" s="143">
        <v>1379</v>
      </c>
      <c r="G602" s="143">
        <v>0</v>
      </c>
      <c r="H602" s="144">
        <f>+F602-G602</f>
        <v>1379</v>
      </c>
      <c r="I602" s="145" t="str">
        <f>IF(G602&lt;0,IF(H602=0,0,IF(OR(G602=0,F602=0),"N.M.",IF(ABS(H602/G602)&gt;=10,"N.M.",H602/(-G602)))),IF(H602=0,0,IF(OR(G602=0,F602=0),"N.M.",IF(ABS(H602/G602)&gt;=10,"N.M.",H602/G602))))</f>
        <v>N.M.</v>
      </c>
      <c r="J602" s="146"/>
      <c r="K602" s="143">
        <v>2758</v>
      </c>
      <c r="L602" s="143">
        <v>0</v>
      </c>
      <c r="M602" s="144">
        <f>+K602-L602</f>
        <v>2758</v>
      </c>
      <c r="N602" s="145" t="str">
        <f>IF(L602&lt;0,IF(M602=0,0,IF(OR(L602=0,K602=0),"N.M.",IF(ABS(M602/L602)&gt;=10,"N.M.",M602/(-L602)))),IF(M602=0,0,IF(OR(L602=0,K602=0),"N.M.",IF(ABS(M602/L602)&gt;=10,"N.M.",M602/L602))))</f>
        <v>N.M.</v>
      </c>
      <c r="O602" s="147"/>
      <c r="P602" s="146"/>
      <c r="Q602" s="143">
        <v>2991.71</v>
      </c>
      <c r="R602" s="143">
        <v>0</v>
      </c>
      <c r="S602" s="144">
        <f>+Q602-R602</f>
        <v>2991.71</v>
      </c>
      <c r="T602" s="145" t="str">
        <f>IF(R602&lt;0,IF(S602=0,0,IF(OR(R602=0,Q602=0),"N.M.",IF(ABS(S602/R602)&gt;=10,"N.M.",S602/(-R602)))),IF(S602=0,0,IF(OR(R602=0,Q602=0),"N.M.",IF(ABS(S602/R602)&gt;=10,"N.M.",S602/R602))))</f>
        <v>N.M.</v>
      </c>
      <c r="U602" s="146"/>
      <c r="V602" s="143">
        <v>2991.71</v>
      </c>
      <c r="W602" s="143">
        <v>0</v>
      </c>
      <c r="X602" s="144">
        <f>+V602-W602</f>
        <v>2991.71</v>
      </c>
      <c r="Y602" s="145" t="str">
        <f>IF(W602&lt;0,IF(X602=0,0,IF(OR(W602=0,V602=0),"N.M.",IF(ABS(X602/W602)&gt;=10,"N.M.",X602/(-W602)))),IF(X602=0,0,IF(OR(W602=0,V602=0),"N.M.",IF(ABS(X602/W602)&gt;=10,"N.M.",X602/W602))))</f>
        <v>N.M.</v>
      </c>
      <c r="Z602" s="148"/>
      <c r="AA602" s="149">
        <v>0</v>
      </c>
      <c r="AB602" s="150"/>
      <c r="AC602" s="117">
        <v>0</v>
      </c>
      <c r="AD602" s="117">
        <v>0</v>
      </c>
      <c r="AE602" s="117">
        <v>0</v>
      </c>
      <c r="AF602" s="117">
        <v>0</v>
      </c>
      <c r="AG602" s="117">
        <v>0</v>
      </c>
      <c r="AH602" s="117">
        <v>0</v>
      </c>
      <c r="AI602" s="117">
        <v>0</v>
      </c>
      <c r="AJ602" s="117">
        <v>0</v>
      </c>
      <c r="AK602" s="117">
        <v>0</v>
      </c>
      <c r="AL602" s="117">
        <v>0</v>
      </c>
      <c r="AM602" s="117">
        <v>0</v>
      </c>
      <c r="AN602" s="117">
        <v>233.71</v>
      </c>
      <c r="AO602" s="150"/>
      <c r="AP602" s="117">
        <v>1379</v>
      </c>
      <c r="AQ602" s="117">
        <v>1379</v>
      </c>
      <c r="AR602" s="117">
        <v>0</v>
      </c>
      <c r="AS602" s="117">
        <v>0</v>
      </c>
      <c r="AT602" s="117">
        <v>0</v>
      </c>
      <c r="AU602" s="117">
        <v>0</v>
      </c>
      <c r="AV602" s="117">
        <v>0</v>
      </c>
      <c r="AW602" s="117">
        <v>0</v>
      </c>
      <c r="AX602" s="117">
        <v>0</v>
      </c>
      <c r="AY602" s="117">
        <v>0</v>
      </c>
      <c r="AZ602" s="117">
        <v>0</v>
      </c>
      <c r="BA602" s="117">
        <v>0</v>
      </c>
    </row>
    <row r="603" spans="1:53" s="138" customFormat="1" outlineLevel="2" x14ac:dyDescent="0.25">
      <c r="A603" s="138" t="s">
        <v>1624</v>
      </c>
      <c r="B603" s="139" t="s">
        <v>1625</v>
      </c>
      <c r="C603" s="140" t="s">
        <v>1626</v>
      </c>
      <c r="D603" s="141"/>
      <c r="E603" s="142"/>
      <c r="F603" s="143">
        <v>0</v>
      </c>
      <c r="G603" s="143">
        <v>0</v>
      </c>
      <c r="H603" s="144">
        <f>+F603-G603</f>
        <v>0</v>
      </c>
      <c r="I603" s="145">
        <f>IF(G603&lt;0,IF(H603=0,0,IF(OR(G603=0,F603=0),"N.M.",IF(ABS(H603/G603)&gt;=10,"N.M.",H603/(-G603)))),IF(H603=0,0,IF(OR(G603=0,F603=0),"N.M.",IF(ABS(H603/G603)&gt;=10,"N.M.",H603/G603))))</f>
        <v>0</v>
      </c>
      <c r="J603" s="146"/>
      <c r="K603" s="143">
        <v>0</v>
      </c>
      <c r="L603" s="143">
        <v>0</v>
      </c>
      <c r="M603" s="144">
        <f>+K603-L603</f>
        <v>0</v>
      </c>
      <c r="N603" s="145">
        <f>IF(L603&lt;0,IF(M603=0,0,IF(OR(L603=0,K603=0),"N.M.",IF(ABS(M603/L603)&gt;=10,"N.M.",M603/(-L603)))),IF(M603=0,0,IF(OR(L603=0,K603=0),"N.M.",IF(ABS(M603/L603)&gt;=10,"N.M.",M603/L603))))</f>
        <v>0</v>
      </c>
      <c r="O603" s="147"/>
      <c r="P603" s="146"/>
      <c r="Q603" s="143">
        <v>0</v>
      </c>
      <c r="R603" s="143">
        <v>0</v>
      </c>
      <c r="S603" s="144">
        <f>+Q603-R603</f>
        <v>0</v>
      </c>
      <c r="T603" s="145">
        <f>IF(R603&lt;0,IF(S603=0,0,IF(OR(R603=0,Q603=0),"N.M.",IF(ABS(S603/R603)&gt;=10,"N.M.",S603/(-R603)))),IF(S603=0,0,IF(OR(R603=0,Q603=0),"N.M.",IF(ABS(S603/R603)&gt;=10,"N.M.",S603/R603))))</f>
        <v>0</v>
      </c>
      <c r="U603" s="146"/>
      <c r="V603" s="143">
        <v>0</v>
      </c>
      <c r="W603" s="143">
        <v>100</v>
      </c>
      <c r="X603" s="144">
        <f>+V603-W603</f>
        <v>-100</v>
      </c>
      <c r="Y603" s="145" t="str">
        <f>IF(W603&lt;0,IF(X603=0,0,IF(OR(W603=0,V603=0),"N.M.",IF(ABS(X603/W603)&gt;=10,"N.M.",X603/(-W603)))),IF(X603=0,0,IF(OR(W603=0,V603=0),"N.M.",IF(ABS(X603/W603)&gt;=10,"N.M.",X603/W603))))</f>
        <v>N.M.</v>
      </c>
      <c r="Z603" s="148"/>
      <c r="AA603" s="149">
        <v>0</v>
      </c>
      <c r="AB603" s="150"/>
      <c r="AC603" s="117">
        <v>0</v>
      </c>
      <c r="AD603" s="117">
        <v>0</v>
      </c>
      <c r="AE603" s="117">
        <v>0</v>
      </c>
      <c r="AF603" s="117">
        <v>0</v>
      </c>
      <c r="AG603" s="117">
        <v>0</v>
      </c>
      <c r="AH603" s="117">
        <v>0</v>
      </c>
      <c r="AI603" s="117">
        <v>0</v>
      </c>
      <c r="AJ603" s="117">
        <v>0</v>
      </c>
      <c r="AK603" s="117">
        <v>0</v>
      </c>
      <c r="AL603" s="117">
        <v>0</v>
      </c>
      <c r="AM603" s="117">
        <v>0</v>
      </c>
      <c r="AN603" s="117">
        <v>0</v>
      </c>
      <c r="AO603" s="150"/>
      <c r="AP603" s="117">
        <v>0</v>
      </c>
      <c r="AQ603" s="117">
        <v>0</v>
      </c>
      <c r="AR603" s="117">
        <v>0</v>
      </c>
      <c r="AS603" s="117">
        <v>0</v>
      </c>
      <c r="AT603" s="117">
        <v>0</v>
      </c>
      <c r="AU603" s="117">
        <v>0</v>
      </c>
      <c r="AV603" s="117">
        <v>0</v>
      </c>
      <c r="AW603" s="117">
        <v>0</v>
      </c>
      <c r="AX603" s="117">
        <v>0</v>
      </c>
      <c r="AY603" s="117">
        <v>0</v>
      </c>
      <c r="AZ603" s="117">
        <v>0</v>
      </c>
      <c r="BA603" s="117">
        <v>0</v>
      </c>
    </row>
    <row r="604" spans="1:53" s="244" customFormat="1" x14ac:dyDescent="0.25">
      <c r="A604" s="211" t="s">
        <v>1627</v>
      </c>
      <c r="B604" s="212" t="s">
        <v>1628</v>
      </c>
      <c r="C604" s="238" t="s">
        <v>1629</v>
      </c>
      <c r="D604" s="246"/>
      <c r="E604" s="246"/>
      <c r="F604" s="241">
        <v>1379</v>
      </c>
      <c r="G604" s="241">
        <v>1297</v>
      </c>
      <c r="H604" s="236">
        <f>+F604-G604</f>
        <v>82</v>
      </c>
      <c r="I604" s="237">
        <f>IF(G604&lt;0,IF(H604=0,0,IF(OR(G604=0,F604=0),"N.M.",IF(ABS(H604/G604)&gt;=10,"N.M.",H604/(-G604)))),IF(H604=0,0,IF(OR(G604=0,F604=0),"N.M.",IF(ABS(H604/G604)&gt;=10,"N.M.",H604/G604))))</f>
        <v>6.3222821896684656E-2</v>
      </c>
      <c r="J604" s="242"/>
      <c r="K604" s="241">
        <v>2758</v>
      </c>
      <c r="L604" s="241">
        <v>2594</v>
      </c>
      <c r="M604" s="236">
        <f>+K604-L604</f>
        <v>164</v>
      </c>
      <c r="N604" s="237">
        <f>IF(L604&lt;0,IF(M604=0,0,IF(OR(L604=0,K604=0),"N.M.",IF(ABS(M604/L604)&gt;=10,"N.M.",M604/(-L604)))),IF(M604=0,0,IF(OR(L604=0,K604=0),"N.M.",IF(ABS(M604/L604)&gt;=10,"N.M.",M604/L604))))</f>
        <v>6.3222821896684656E-2</v>
      </c>
      <c r="O604" s="148"/>
      <c r="P604" s="243"/>
      <c r="Q604" s="241">
        <v>4288.71</v>
      </c>
      <c r="R604" s="241">
        <v>4986.4799999999996</v>
      </c>
      <c r="S604" s="236">
        <f>+Q604-R604</f>
        <v>-697.76999999999953</v>
      </c>
      <c r="T604" s="237">
        <f>IF(R604&lt;0,IF(S604=0,0,IF(OR(R604=0,Q604=0),"N.M.",IF(ABS(S604/R604)&gt;=10,"N.M.",S604/(-R604)))),IF(S604=0,0,IF(OR(R604=0,Q604=0),"N.M.",IF(ABS(S604/R604)&gt;=10,"N.M.",S604/R604))))</f>
        <v>-0.1399323771478076</v>
      </c>
      <c r="U604" s="243"/>
      <c r="V604" s="241">
        <v>15961.71</v>
      </c>
      <c r="W604" s="241">
        <v>40102.04</v>
      </c>
      <c r="X604" s="236">
        <f>+V604-W604</f>
        <v>-24140.33</v>
      </c>
      <c r="Y604" s="232">
        <f>IF(W604&lt;0,IF(X604=0,0,IF(OR(W604=0,V604=0),"N.M.",IF(ABS(X604/W604)&gt;=10,"N.M.",X604/(-W604)))),IF(X604=0,0,IF(OR(W604=0,V604=0),"N.M.",IF(ABS(X604/W604)&gt;=10,"N.M.",X604/W604))))</f>
        <v>-0.60197261785185996</v>
      </c>
      <c r="AA604" s="241">
        <v>2392.48</v>
      </c>
      <c r="AB604" s="245"/>
      <c r="AC604" s="241">
        <v>1297</v>
      </c>
      <c r="AD604" s="241">
        <v>1297</v>
      </c>
      <c r="AE604" s="241">
        <v>1297</v>
      </c>
      <c r="AF604" s="241">
        <v>1297</v>
      </c>
      <c r="AG604" s="241">
        <v>1297</v>
      </c>
      <c r="AH604" s="241">
        <v>1297</v>
      </c>
      <c r="AI604" s="241">
        <v>1297</v>
      </c>
      <c r="AJ604" s="241">
        <v>1297</v>
      </c>
      <c r="AK604" s="241">
        <v>1297</v>
      </c>
      <c r="AL604" s="241">
        <v>1297</v>
      </c>
      <c r="AM604" s="241">
        <v>1297</v>
      </c>
      <c r="AN604" s="241">
        <v>1530.71</v>
      </c>
      <c r="AO604" s="245"/>
      <c r="AP604" s="241">
        <v>1379</v>
      </c>
      <c r="AQ604" s="241">
        <v>1379</v>
      </c>
      <c r="AR604" s="241">
        <v>0</v>
      </c>
      <c r="AS604" s="241">
        <v>0</v>
      </c>
      <c r="AT604" s="241">
        <v>0</v>
      </c>
      <c r="AU604" s="241">
        <v>0</v>
      </c>
      <c r="AV604" s="241">
        <v>0</v>
      </c>
      <c r="AW604" s="241">
        <v>0</v>
      </c>
      <c r="AX604" s="241">
        <v>0</v>
      </c>
      <c r="AY604" s="241">
        <v>0</v>
      </c>
      <c r="AZ604" s="241">
        <v>0</v>
      </c>
      <c r="BA604" s="241">
        <v>0</v>
      </c>
    </row>
    <row r="605" spans="1:53" s="244" customFormat="1" ht="0.75" customHeight="1" outlineLevel="2" x14ac:dyDescent="0.25">
      <c r="A605" s="211"/>
      <c r="B605" s="212"/>
      <c r="C605" s="238"/>
      <c r="D605" s="246"/>
      <c r="E605" s="246"/>
      <c r="F605" s="241"/>
      <c r="G605" s="241"/>
      <c r="H605" s="236"/>
      <c r="I605" s="237"/>
      <c r="J605" s="242"/>
      <c r="K605" s="241"/>
      <c r="L605" s="241"/>
      <c r="M605" s="236"/>
      <c r="N605" s="237"/>
      <c r="O605" s="148"/>
      <c r="P605" s="243"/>
      <c r="Q605" s="241"/>
      <c r="R605" s="241"/>
      <c r="S605" s="236"/>
      <c r="T605" s="237"/>
      <c r="U605" s="243"/>
      <c r="V605" s="241"/>
      <c r="W605" s="241"/>
      <c r="X605" s="236"/>
      <c r="Y605" s="232"/>
      <c r="AA605" s="241"/>
      <c r="AB605" s="245"/>
      <c r="AC605" s="241"/>
      <c r="AD605" s="241"/>
      <c r="AE605" s="241"/>
      <c r="AF605" s="241"/>
      <c r="AG605" s="241"/>
      <c r="AH605" s="241"/>
      <c r="AI605" s="241"/>
      <c r="AJ605" s="241"/>
      <c r="AK605" s="241"/>
      <c r="AL605" s="241"/>
      <c r="AM605" s="241"/>
      <c r="AN605" s="241"/>
      <c r="AO605" s="245"/>
      <c r="AP605" s="241"/>
      <c r="AQ605" s="241"/>
      <c r="AR605" s="241"/>
      <c r="AS605" s="241"/>
      <c r="AT605" s="241"/>
      <c r="AU605" s="241"/>
      <c r="AV605" s="241"/>
      <c r="AW605" s="241"/>
      <c r="AX605" s="241"/>
      <c r="AY605" s="241"/>
      <c r="AZ605" s="241"/>
      <c r="BA605" s="241"/>
    </row>
    <row r="606" spans="1:53" s="259" customFormat="1" outlineLevel="2" x14ac:dyDescent="0.25">
      <c r="A606" s="248"/>
      <c r="B606" s="249"/>
      <c r="C606" s="293"/>
      <c r="D606" s="251"/>
      <c r="E606" s="251"/>
      <c r="F606" s="252"/>
      <c r="G606" s="252"/>
      <c r="H606" s="253"/>
      <c r="I606" s="254"/>
      <c r="J606" s="255"/>
      <c r="K606" s="252"/>
      <c r="L606" s="252"/>
      <c r="M606" s="253"/>
      <c r="N606" s="254"/>
      <c r="O606" s="256"/>
      <c r="P606" s="257"/>
      <c r="Q606" s="252"/>
      <c r="R606" s="252"/>
      <c r="S606" s="253"/>
      <c r="T606" s="254"/>
      <c r="U606" s="257"/>
      <c r="V606" s="252"/>
      <c r="W606" s="252"/>
      <c r="X606" s="253"/>
      <c r="Y606" s="258"/>
      <c r="AA606" s="252"/>
      <c r="AB606" s="245"/>
      <c r="AC606" s="252"/>
      <c r="AD606" s="252"/>
      <c r="AE606" s="252"/>
      <c r="AF606" s="252"/>
      <c r="AG606" s="252"/>
      <c r="AH606" s="252"/>
      <c r="AI606" s="252"/>
      <c r="AJ606" s="252"/>
      <c r="AK606" s="252"/>
      <c r="AL606" s="252"/>
      <c r="AM606" s="252"/>
      <c r="AN606" s="252"/>
      <c r="AO606" s="245"/>
      <c r="AP606" s="252"/>
      <c r="AQ606" s="252"/>
      <c r="AR606" s="252"/>
      <c r="AS606" s="252"/>
      <c r="AT606" s="252"/>
      <c r="AU606" s="252"/>
      <c r="AV606" s="252"/>
      <c r="AW606" s="252"/>
      <c r="AX606" s="252"/>
      <c r="AY606" s="252"/>
      <c r="AZ606" s="252"/>
      <c r="BA606" s="252"/>
    </row>
    <row r="607" spans="1:53" s="138" customFormat="1" outlineLevel="2" x14ac:dyDescent="0.25">
      <c r="A607" s="138" t="s">
        <v>1630</v>
      </c>
      <c r="B607" s="139" t="s">
        <v>1631</v>
      </c>
      <c r="C607" s="140" t="s">
        <v>1632</v>
      </c>
      <c r="D607" s="141"/>
      <c r="E607" s="142"/>
      <c r="F607" s="143">
        <v>-1298201.47</v>
      </c>
      <c r="G607" s="143">
        <v>-51524.86</v>
      </c>
      <c r="H607" s="144">
        <f t="shared" ref="H607:H613" si="182">+F607-G607</f>
        <v>-1246676.6099999999</v>
      </c>
      <c r="I607" s="145" t="str">
        <f t="shared" ref="I607:I613" si="183">IF(G607&lt;0,IF(H607=0,0,IF(OR(G607=0,F607=0),"N.M.",IF(ABS(H607/G607)&gt;=10,"N.M.",H607/(-G607)))),IF(H607=0,0,IF(OR(G607=0,F607=0),"N.M.",IF(ABS(H607/G607)&gt;=10,"N.M.",H607/G607))))</f>
        <v>N.M.</v>
      </c>
      <c r="J607" s="146"/>
      <c r="K607" s="143">
        <v>-1295014.3400000001</v>
      </c>
      <c r="L607" s="143">
        <v>-63403.560000000005</v>
      </c>
      <c r="M607" s="144">
        <f t="shared" ref="M607:M613" si="184">+K607-L607</f>
        <v>-1231610.78</v>
      </c>
      <c r="N607" s="145" t="str">
        <f t="shared" ref="N607:N613" si="185">IF(L607&lt;0,IF(M607=0,0,IF(OR(L607=0,K607=0),"N.M.",IF(ABS(M607/L607)&gt;=10,"N.M.",M607/(-L607)))),IF(M607=0,0,IF(OR(L607=0,K607=0),"N.M.",IF(ABS(M607/L607)&gt;=10,"N.M.",M607/L607))))</f>
        <v>N.M.</v>
      </c>
      <c r="O607" s="147"/>
      <c r="P607" s="146"/>
      <c r="Q607" s="143">
        <v>-1130196.4000000001</v>
      </c>
      <c r="R607" s="143">
        <v>198034.58000000002</v>
      </c>
      <c r="S607" s="144">
        <f t="shared" ref="S607:S613" si="186">+Q607-R607</f>
        <v>-1328230.9800000002</v>
      </c>
      <c r="T607" s="145">
        <f t="shared" ref="T607:T613" si="187">IF(R607&lt;0,IF(S607=0,0,IF(OR(R607=0,Q607=0),"N.M.",IF(ABS(S607/R607)&gt;=10,"N.M.",S607/(-R607)))),IF(S607=0,0,IF(OR(R607=0,Q607=0),"N.M.",IF(ABS(S607/R607)&gt;=10,"N.M.",S607/R607))))</f>
        <v>-6.7070659073783991</v>
      </c>
      <c r="U607" s="146"/>
      <c r="V607" s="143">
        <v>-1053507.8</v>
      </c>
      <c r="W607" s="143">
        <v>149543.97</v>
      </c>
      <c r="X607" s="144">
        <f t="shared" ref="X607:X613" si="188">+V607-W607</f>
        <v>-1203051.77</v>
      </c>
      <c r="Y607" s="145">
        <f t="shared" ref="Y607:Y613" si="189">IF(W607&lt;0,IF(X607=0,0,IF(OR(W607=0,V607=0),"N.M.",IF(ABS(X607/W607)&gt;=10,"N.M.",X607/(-W607)))),IF(X607=0,0,IF(OR(W607=0,V607=0),"N.M.",IF(ABS(X607/W607)&gt;=10,"N.M.",X607/W607))))</f>
        <v>-8.0448029432413755</v>
      </c>
      <c r="Z607" s="148"/>
      <c r="AA607" s="149">
        <v>261438.14</v>
      </c>
      <c r="AB607" s="150"/>
      <c r="AC607" s="117">
        <v>-11878.7</v>
      </c>
      <c r="AD607" s="117">
        <v>-51524.86</v>
      </c>
      <c r="AE607" s="117">
        <v>-12271.19</v>
      </c>
      <c r="AF607" s="117">
        <v>-9414.76</v>
      </c>
      <c r="AG607" s="117">
        <v>-29122.61</v>
      </c>
      <c r="AH607" s="117">
        <v>-68174.87</v>
      </c>
      <c r="AI607" s="117">
        <v>100427.65000000001</v>
      </c>
      <c r="AJ607" s="117">
        <v>-7689.74</v>
      </c>
      <c r="AK607" s="117">
        <v>-28008.68</v>
      </c>
      <c r="AL607" s="117">
        <v>-25138.63</v>
      </c>
      <c r="AM607" s="117">
        <v>156081.43</v>
      </c>
      <c r="AN607" s="117">
        <v>164817.94</v>
      </c>
      <c r="AO607" s="150"/>
      <c r="AP607" s="117">
        <v>3187.13</v>
      </c>
      <c r="AQ607" s="117">
        <v>-1298201.47</v>
      </c>
      <c r="AR607" s="117">
        <v>0</v>
      </c>
      <c r="AS607" s="117">
        <v>0</v>
      </c>
      <c r="AT607" s="117">
        <v>0</v>
      </c>
      <c r="AU607" s="117">
        <v>0</v>
      </c>
      <c r="AV607" s="117">
        <v>0</v>
      </c>
      <c r="AW607" s="117">
        <v>0</v>
      </c>
      <c r="AX607" s="117">
        <v>0</v>
      </c>
      <c r="AY607" s="117">
        <v>0</v>
      </c>
      <c r="AZ607" s="117">
        <v>0</v>
      </c>
      <c r="BA607" s="117">
        <v>0</v>
      </c>
    </row>
    <row r="608" spans="1:53" s="259" customFormat="1" outlineLevel="2" x14ac:dyDescent="0.25">
      <c r="A608" s="248" t="s">
        <v>1633</v>
      </c>
      <c r="B608" s="249"/>
      <c r="C608" s="250" t="s">
        <v>1634</v>
      </c>
      <c r="D608" s="251"/>
      <c r="E608" s="251"/>
      <c r="F608" s="252">
        <v>-1298201.47</v>
      </c>
      <c r="G608" s="252">
        <v>-51524.86</v>
      </c>
      <c r="H608" s="253">
        <f t="shared" si="182"/>
        <v>-1246676.6099999999</v>
      </c>
      <c r="I608" s="254" t="str">
        <f t="shared" si="183"/>
        <v>N.M.</v>
      </c>
      <c r="J608" s="255"/>
      <c r="K608" s="252">
        <v>-1295014.3400000001</v>
      </c>
      <c r="L608" s="252">
        <v>-63403.560000000005</v>
      </c>
      <c r="M608" s="253">
        <f t="shared" si="184"/>
        <v>-1231610.78</v>
      </c>
      <c r="N608" s="254" t="str">
        <f t="shared" si="185"/>
        <v>N.M.</v>
      </c>
      <c r="O608" s="256"/>
      <c r="P608" s="257"/>
      <c r="Q608" s="252">
        <v>-1130196.4000000001</v>
      </c>
      <c r="R608" s="252">
        <v>198034.58000000002</v>
      </c>
      <c r="S608" s="253">
        <f t="shared" si="186"/>
        <v>-1328230.9800000002</v>
      </c>
      <c r="T608" s="254">
        <f t="shared" si="187"/>
        <v>-6.7070659073783991</v>
      </c>
      <c r="U608" s="257"/>
      <c r="V608" s="252">
        <v>-1053507.8</v>
      </c>
      <c r="W608" s="252">
        <v>149543.97</v>
      </c>
      <c r="X608" s="253">
        <f t="shared" si="188"/>
        <v>-1203051.77</v>
      </c>
      <c r="Y608" s="258">
        <f t="shared" si="189"/>
        <v>-8.0448029432413755</v>
      </c>
      <c r="AA608" s="252">
        <v>261438.14</v>
      </c>
      <c r="AB608" s="245"/>
      <c r="AC608" s="252">
        <v>-11878.7</v>
      </c>
      <c r="AD608" s="252">
        <v>-51524.86</v>
      </c>
      <c r="AE608" s="252">
        <v>-12271.19</v>
      </c>
      <c r="AF608" s="252">
        <v>-9414.76</v>
      </c>
      <c r="AG608" s="252">
        <v>-29122.61</v>
      </c>
      <c r="AH608" s="252">
        <v>-68174.87</v>
      </c>
      <c r="AI608" s="252">
        <v>100427.65000000001</v>
      </c>
      <c r="AJ608" s="252">
        <v>-7689.74</v>
      </c>
      <c r="AK608" s="252">
        <v>-28008.68</v>
      </c>
      <c r="AL608" s="252">
        <v>-25138.63</v>
      </c>
      <c r="AM608" s="252">
        <v>156081.43</v>
      </c>
      <c r="AN608" s="252">
        <v>164817.94</v>
      </c>
      <c r="AO608" s="245"/>
      <c r="AP608" s="252">
        <v>3187.13</v>
      </c>
      <c r="AQ608" s="252">
        <v>-1298201.47</v>
      </c>
      <c r="AR608" s="252">
        <v>0</v>
      </c>
      <c r="AS608" s="252">
        <v>0</v>
      </c>
      <c r="AT608" s="252">
        <v>0</v>
      </c>
      <c r="AU608" s="252">
        <v>0</v>
      </c>
      <c r="AV608" s="252">
        <v>0</v>
      </c>
      <c r="AW608" s="252">
        <v>0</v>
      </c>
      <c r="AX608" s="252">
        <v>0</v>
      </c>
      <c r="AY608" s="252">
        <v>0</v>
      </c>
      <c r="AZ608" s="252">
        <v>0</v>
      </c>
      <c r="BA608" s="252">
        <v>0</v>
      </c>
    </row>
    <row r="609" spans="1:53" s="138" customFormat="1" outlineLevel="2" x14ac:dyDescent="0.25">
      <c r="A609" s="138" t="s">
        <v>1390</v>
      </c>
      <c r="B609" s="139" t="s">
        <v>1391</v>
      </c>
      <c r="C609" s="140" t="s">
        <v>1392</v>
      </c>
      <c r="D609" s="141"/>
      <c r="E609" s="142"/>
      <c r="F609" s="143">
        <v>98033.040000000008</v>
      </c>
      <c r="G609" s="143">
        <v>82471.11</v>
      </c>
      <c r="H609" s="144">
        <f t="shared" si="182"/>
        <v>15561.930000000008</v>
      </c>
      <c r="I609" s="145">
        <f t="shared" si="183"/>
        <v>0.18869553229003475</v>
      </c>
      <c r="J609" s="146"/>
      <c r="K609" s="143">
        <v>247201.57</v>
      </c>
      <c r="L609" s="143">
        <v>176913.77</v>
      </c>
      <c r="M609" s="144">
        <f t="shared" si="184"/>
        <v>70287.800000000017</v>
      </c>
      <c r="N609" s="145">
        <f t="shared" si="185"/>
        <v>0.39729976926047089</v>
      </c>
      <c r="O609" s="147"/>
      <c r="P609" s="146"/>
      <c r="Q609" s="143">
        <v>386072.99</v>
      </c>
      <c r="R609" s="143">
        <v>232834.84999999998</v>
      </c>
      <c r="S609" s="144">
        <f t="shared" si="186"/>
        <v>153238.14000000001</v>
      </c>
      <c r="T609" s="145">
        <f t="shared" si="187"/>
        <v>0.65814090974783213</v>
      </c>
      <c r="U609" s="146"/>
      <c r="V609" s="143">
        <v>1215902.01</v>
      </c>
      <c r="W609" s="143">
        <v>904758.22000000009</v>
      </c>
      <c r="X609" s="144">
        <f t="shared" si="188"/>
        <v>311143.78999999992</v>
      </c>
      <c r="Y609" s="145">
        <f t="shared" si="189"/>
        <v>0.34389716846120488</v>
      </c>
      <c r="Z609" s="148"/>
      <c r="AA609" s="149">
        <v>55921.08</v>
      </c>
      <c r="AB609" s="150"/>
      <c r="AC609" s="117">
        <v>94442.66</v>
      </c>
      <c r="AD609" s="117">
        <v>82471.11</v>
      </c>
      <c r="AE609" s="117">
        <v>81956.44</v>
      </c>
      <c r="AF609" s="117">
        <v>72617.600000000006</v>
      </c>
      <c r="AG609" s="117">
        <v>97037.47</v>
      </c>
      <c r="AH609" s="117">
        <v>99639.21</v>
      </c>
      <c r="AI609" s="117">
        <v>106163.8</v>
      </c>
      <c r="AJ609" s="117">
        <v>89837.59</v>
      </c>
      <c r="AK609" s="117">
        <v>93968.12</v>
      </c>
      <c r="AL609" s="117">
        <v>86681.290000000008</v>
      </c>
      <c r="AM609" s="117">
        <v>101927.5</v>
      </c>
      <c r="AN609" s="117">
        <v>138871.42000000001</v>
      </c>
      <c r="AO609" s="150"/>
      <c r="AP609" s="117">
        <v>149168.53</v>
      </c>
      <c r="AQ609" s="117">
        <v>98033.040000000008</v>
      </c>
      <c r="AR609" s="117">
        <v>24751.119999999999</v>
      </c>
      <c r="AS609" s="117">
        <v>0</v>
      </c>
      <c r="AT609" s="117">
        <v>0</v>
      </c>
      <c r="AU609" s="117">
        <v>0</v>
      </c>
      <c r="AV609" s="117">
        <v>0</v>
      </c>
      <c r="AW609" s="117">
        <v>0</v>
      </c>
      <c r="AX609" s="117">
        <v>0</v>
      </c>
      <c r="AY609" s="117">
        <v>0</v>
      </c>
      <c r="AZ609" s="117">
        <v>0</v>
      </c>
      <c r="BA609" s="117">
        <v>0</v>
      </c>
    </row>
    <row r="610" spans="1:53" s="138" customFormat="1" outlineLevel="2" x14ac:dyDescent="0.25">
      <c r="A610" s="138" t="s">
        <v>1393</v>
      </c>
      <c r="B610" s="139" t="s">
        <v>1394</v>
      </c>
      <c r="C610" s="140" t="s">
        <v>1395</v>
      </c>
      <c r="D610" s="141"/>
      <c r="E610" s="142"/>
      <c r="F610" s="143">
        <v>125257.79000000001</v>
      </c>
      <c r="G610" s="143">
        <v>171719.62</v>
      </c>
      <c r="H610" s="144">
        <f t="shared" si="182"/>
        <v>-46461.829999999987</v>
      </c>
      <c r="I610" s="145">
        <f t="shared" si="183"/>
        <v>-0.27056797586670639</v>
      </c>
      <c r="J610" s="146"/>
      <c r="K610" s="143">
        <v>278793.69</v>
      </c>
      <c r="L610" s="143">
        <v>324758.28000000003</v>
      </c>
      <c r="M610" s="144">
        <f t="shared" si="184"/>
        <v>-45964.590000000026</v>
      </c>
      <c r="N610" s="145">
        <f t="shared" si="185"/>
        <v>-0.14153477472537426</v>
      </c>
      <c r="O610" s="147"/>
      <c r="P610" s="146"/>
      <c r="Q610" s="143">
        <v>427200.56</v>
      </c>
      <c r="R610" s="143">
        <v>488911.66000000003</v>
      </c>
      <c r="S610" s="144">
        <f t="shared" si="186"/>
        <v>-61711.100000000035</v>
      </c>
      <c r="T610" s="145">
        <f t="shared" si="187"/>
        <v>-0.12622137095278119</v>
      </c>
      <c r="U610" s="146"/>
      <c r="V610" s="143">
        <v>1636590.19</v>
      </c>
      <c r="W610" s="143">
        <v>2075032.1700000002</v>
      </c>
      <c r="X610" s="144">
        <f t="shared" si="188"/>
        <v>-438441.98000000021</v>
      </c>
      <c r="Y610" s="145">
        <f t="shared" si="189"/>
        <v>-0.21129406393733172</v>
      </c>
      <c r="Z610" s="148"/>
      <c r="AA610" s="149">
        <v>164153.38</v>
      </c>
      <c r="AB610" s="150"/>
      <c r="AC610" s="117">
        <v>153038.66</v>
      </c>
      <c r="AD610" s="117">
        <v>171719.62</v>
      </c>
      <c r="AE610" s="117">
        <v>152859.59</v>
      </c>
      <c r="AF610" s="117">
        <v>129431.2</v>
      </c>
      <c r="AG610" s="117">
        <v>119665.79000000001</v>
      </c>
      <c r="AH610" s="117">
        <v>147917.47</v>
      </c>
      <c r="AI610" s="117">
        <v>133391.62</v>
      </c>
      <c r="AJ610" s="117">
        <v>149633.83000000002</v>
      </c>
      <c r="AK610" s="117">
        <v>148628.01</v>
      </c>
      <c r="AL610" s="117">
        <v>115661.74</v>
      </c>
      <c r="AM610" s="117">
        <v>112200.38</v>
      </c>
      <c r="AN610" s="117">
        <v>148406.87</v>
      </c>
      <c r="AO610" s="150"/>
      <c r="AP610" s="117">
        <v>153535.9</v>
      </c>
      <c r="AQ610" s="117">
        <v>125257.79000000001</v>
      </c>
      <c r="AR610" s="117">
        <v>0</v>
      </c>
      <c r="AS610" s="117">
        <v>0</v>
      </c>
      <c r="AT610" s="117">
        <v>0</v>
      </c>
      <c r="AU610" s="117">
        <v>0</v>
      </c>
      <c r="AV610" s="117">
        <v>0</v>
      </c>
      <c r="AW610" s="117">
        <v>0</v>
      </c>
      <c r="AX610" s="117">
        <v>0</v>
      </c>
      <c r="AY610" s="117">
        <v>0</v>
      </c>
      <c r="AZ610" s="117">
        <v>0</v>
      </c>
      <c r="BA610" s="117">
        <v>0</v>
      </c>
    </row>
    <row r="611" spans="1:53" s="259" customFormat="1" outlineLevel="2" x14ac:dyDescent="0.25">
      <c r="A611" s="211" t="s">
        <v>1396</v>
      </c>
      <c r="B611" s="249"/>
      <c r="C611" s="260" t="s">
        <v>1397</v>
      </c>
      <c r="D611" s="251"/>
      <c r="E611" s="251"/>
      <c r="F611" s="252">
        <v>223290.83000000002</v>
      </c>
      <c r="G611" s="252">
        <v>254190.72999999998</v>
      </c>
      <c r="H611" s="253">
        <f t="shared" si="182"/>
        <v>-30899.899999999965</v>
      </c>
      <c r="I611" s="254">
        <f t="shared" si="183"/>
        <v>-0.1215618681294946</v>
      </c>
      <c r="J611" s="255"/>
      <c r="K611" s="252">
        <v>525995.26</v>
      </c>
      <c r="L611" s="252">
        <v>501672.05000000005</v>
      </c>
      <c r="M611" s="253">
        <f t="shared" si="184"/>
        <v>24323.209999999963</v>
      </c>
      <c r="N611" s="254">
        <f t="shared" si="185"/>
        <v>4.8484283706855827E-2</v>
      </c>
      <c r="O611" s="261"/>
      <c r="P611" s="262"/>
      <c r="Q611" s="252">
        <v>813273.55</v>
      </c>
      <c r="R611" s="252">
        <v>721746.51</v>
      </c>
      <c r="S611" s="253">
        <f t="shared" si="186"/>
        <v>91527.040000000037</v>
      </c>
      <c r="T611" s="254">
        <f t="shared" si="187"/>
        <v>0.12681327686641677</v>
      </c>
      <c r="U611" s="262"/>
      <c r="V611" s="252">
        <v>2852492.1999999997</v>
      </c>
      <c r="W611" s="252">
        <v>2979790.3900000006</v>
      </c>
      <c r="X611" s="253">
        <f t="shared" si="188"/>
        <v>-127298.19000000088</v>
      </c>
      <c r="Y611" s="258">
        <f t="shared" si="189"/>
        <v>-4.2720518338204602E-2</v>
      </c>
      <c r="AA611" s="252">
        <v>220074.46000000002</v>
      </c>
      <c r="AB611" s="245"/>
      <c r="AC611" s="252">
        <v>247481.32</v>
      </c>
      <c r="AD611" s="252">
        <v>254190.72999999998</v>
      </c>
      <c r="AE611" s="252">
        <v>234816.03</v>
      </c>
      <c r="AF611" s="252">
        <v>202048.8</v>
      </c>
      <c r="AG611" s="252">
        <v>216703.26</v>
      </c>
      <c r="AH611" s="252">
        <v>247556.68</v>
      </c>
      <c r="AI611" s="252">
        <v>239555.41999999998</v>
      </c>
      <c r="AJ611" s="252">
        <v>239471.42</v>
      </c>
      <c r="AK611" s="252">
        <v>242596.13</v>
      </c>
      <c r="AL611" s="252">
        <v>202343.03000000003</v>
      </c>
      <c r="AM611" s="252">
        <v>214127.88</v>
      </c>
      <c r="AN611" s="252">
        <v>287278.29000000004</v>
      </c>
      <c r="AO611" s="245"/>
      <c r="AP611" s="252">
        <v>302704.43</v>
      </c>
      <c r="AQ611" s="252">
        <v>223290.83000000002</v>
      </c>
      <c r="AR611" s="252">
        <v>24751.119999999999</v>
      </c>
      <c r="AS611" s="252">
        <v>0</v>
      </c>
      <c r="AT611" s="252">
        <v>0</v>
      </c>
      <c r="AU611" s="252">
        <v>0</v>
      </c>
      <c r="AV611" s="252">
        <v>0</v>
      </c>
      <c r="AW611" s="252">
        <v>0</v>
      </c>
      <c r="AX611" s="252">
        <v>0</v>
      </c>
      <c r="AY611" s="252">
        <v>0</v>
      </c>
      <c r="AZ611" s="252">
        <v>0</v>
      </c>
      <c r="BA611" s="252">
        <v>0</v>
      </c>
    </row>
    <row r="612" spans="1:53" s="259" customFormat="1" outlineLevel="2" x14ac:dyDescent="0.25">
      <c r="A612" s="211"/>
      <c r="B612" s="249"/>
      <c r="C612" s="250" t="s">
        <v>1398</v>
      </c>
      <c r="D612" s="251"/>
      <c r="E612" s="251"/>
      <c r="F612" s="252">
        <f>F611*0.35</f>
        <v>78151.790500000003</v>
      </c>
      <c r="G612" s="252">
        <f>G611*0.35</f>
        <v>88966.755499999985</v>
      </c>
      <c r="H612" s="253">
        <f t="shared" si="182"/>
        <v>-10814.964999999982</v>
      </c>
      <c r="I612" s="254">
        <f t="shared" si="183"/>
        <v>-0.12156186812949454</v>
      </c>
      <c r="J612" s="255"/>
      <c r="K612" s="252">
        <f>K611*0.35</f>
        <v>184098.34099999999</v>
      </c>
      <c r="L612" s="252">
        <f>L611*0.35</f>
        <v>175585.2175</v>
      </c>
      <c r="M612" s="253">
        <f t="shared" si="184"/>
        <v>8513.123499999987</v>
      </c>
      <c r="N612" s="254">
        <f t="shared" si="185"/>
        <v>4.8484283706855827E-2</v>
      </c>
      <c r="O612" s="261"/>
      <c r="P612" s="262"/>
      <c r="Q612" s="252">
        <f>Q611*0.35</f>
        <v>284645.74249999999</v>
      </c>
      <c r="R612" s="252">
        <f>R611*0.35</f>
        <v>252611.27849999999</v>
      </c>
      <c r="S612" s="253">
        <f t="shared" si="186"/>
        <v>32034.464000000007</v>
      </c>
      <c r="T612" s="254">
        <f t="shared" si="187"/>
        <v>0.12681327686641675</v>
      </c>
      <c r="U612" s="262"/>
      <c r="V612" s="252">
        <f>V611*0.35</f>
        <v>998372.26999999979</v>
      </c>
      <c r="W612" s="252">
        <f>W611*0.35</f>
        <v>1042926.6365000001</v>
      </c>
      <c r="X612" s="253">
        <f t="shared" si="188"/>
        <v>-44554.366500000353</v>
      </c>
      <c r="Y612" s="258">
        <f t="shared" si="189"/>
        <v>-4.2720518338204651E-2</v>
      </c>
      <c r="AA612" s="252">
        <f>AA611*0.35</f>
        <v>77026.061000000002</v>
      </c>
      <c r="AB612" s="245"/>
      <c r="AC612" s="252">
        <f t="shared" ref="AC612:AN612" si="190">AC611*0.35</f>
        <v>86618.462</v>
      </c>
      <c r="AD612" s="252">
        <f t="shared" si="190"/>
        <v>88966.755499999985</v>
      </c>
      <c r="AE612" s="252">
        <f t="shared" si="190"/>
        <v>82185.610499999995</v>
      </c>
      <c r="AF612" s="252">
        <f t="shared" si="190"/>
        <v>70717.079999999987</v>
      </c>
      <c r="AG612" s="252">
        <f t="shared" si="190"/>
        <v>75846.141000000003</v>
      </c>
      <c r="AH612" s="252">
        <f t="shared" si="190"/>
        <v>86644.837999999989</v>
      </c>
      <c r="AI612" s="252">
        <f t="shared" si="190"/>
        <v>83844.396999999983</v>
      </c>
      <c r="AJ612" s="252">
        <f t="shared" si="190"/>
        <v>83814.997000000003</v>
      </c>
      <c r="AK612" s="252">
        <f t="shared" si="190"/>
        <v>84908.645499999999</v>
      </c>
      <c r="AL612" s="252">
        <f t="shared" si="190"/>
        <v>70820.060500000007</v>
      </c>
      <c r="AM612" s="252">
        <f t="shared" si="190"/>
        <v>74944.758000000002</v>
      </c>
      <c r="AN612" s="252">
        <f t="shared" si="190"/>
        <v>100547.40150000001</v>
      </c>
      <c r="AO612" s="245"/>
      <c r="AP612" s="252">
        <f t="shared" ref="AP612:BA612" si="191">AP611*0.35</f>
        <v>105946.5505</v>
      </c>
      <c r="AQ612" s="252">
        <f t="shared" si="191"/>
        <v>78151.790500000003</v>
      </c>
      <c r="AR612" s="252">
        <f t="shared" si="191"/>
        <v>8662.8919999999998</v>
      </c>
      <c r="AS612" s="252">
        <f t="shared" si="191"/>
        <v>0</v>
      </c>
      <c r="AT612" s="252">
        <f t="shared" si="191"/>
        <v>0</v>
      </c>
      <c r="AU612" s="252">
        <f t="shared" si="191"/>
        <v>0</v>
      </c>
      <c r="AV612" s="252">
        <f t="shared" si="191"/>
        <v>0</v>
      </c>
      <c r="AW612" s="252">
        <f t="shared" si="191"/>
        <v>0</v>
      </c>
      <c r="AX612" s="252">
        <f t="shared" si="191"/>
        <v>0</v>
      </c>
      <c r="AY612" s="252">
        <f t="shared" si="191"/>
        <v>0</v>
      </c>
      <c r="AZ612" s="252">
        <f t="shared" si="191"/>
        <v>0</v>
      </c>
      <c r="BA612" s="252">
        <f t="shared" si="191"/>
        <v>0</v>
      </c>
    </row>
    <row r="613" spans="1:53" s="244" customFormat="1" x14ac:dyDescent="0.25">
      <c r="A613" s="211"/>
      <c r="B613" s="212" t="s">
        <v>1635</v>
      </c>
      <c r="C613" s="238" t="s">
        <v>1636</v>
      </c>
      <c r="D613" s="246"/>
      <c r="E613" s="246"/>
      <c r="F613" s="241">
        <f>F608-F612</f>
        <v>-1376353.2604999999</v>
      </c>
      <c r="G613" s="241">
        <f>G608-G612</f>
        <v>-140491.61549999999</v>
      </c>
      <c r="H613" s="236">
        <f t="shared" si="182"/>
        <v>-1235861.6449999998</v>
      </c>
      <c r="I613" s="237">
        <f t="shared" si="183"/>
        <v>-8.7966932446584316</v>
      </c>
      <c r="J613" s="242"/>
      <c r="K613" s="241">
        <f>K608-K612</f>
        <v>-1479112.6810000001</v>
      </c>
      <c r="L613" s="241">
        <f>L608-L612</f>
        <v>-238988.7775</v>
      </c>
      <c r="M613" s="236">
        <f t="shared" si="184"/>
        <v>-1240123.9035</v>
      </c>
      <c r="N613" s="237">
        <f t="shared" si="185"/>
        <v>-5.1890466007342129</v>
      </c>
      <c r="O613" s="284"/>
      <c r="P613" s="285"/>
      <c r="Q613" s="241">
        <f>Q608-Q612</f>
        <v>-1414842.1425000001</v>
      </c>
      <c r="R613" s="241">
        <f>R608-R612</f>
        <v>-54576.698499999969</v>
      </c>
      <c r="S613" s="236">
        <f t="shared" si="186"/>
        <v>-1360265.4440000001</v>
      </c>
      <c r="T613" s="237" t="str">
        <f t="shared" si="187"/>
        <v>N.M.</v>
      </c>
      <c r="U613" s="285"/>
      <c r="V613" s="241">
        <f>V608-V612</f>
        <v>-2051880.0699999998</v>
      </c>
      <c r="W613" s="241">
        <f>W608-W612</f>
        <v>-893382.66650000017</v>
      </c>
      <c r="X613" s="236">
        <f t="shared" si="188"/>
        <v>-1158497.4034999995</v>
      </c>
      <c r="Y613" s="232">
        <f t="shared" si="189"/>
        <v>-1.2967538401418037</v>
      </c>
      <c r="AA613" s="241">
        <f>AA608-AA612</f>
        <v>184412.07900000003</v>
      </c>
      <c r="AB613" s="245"/>
      <c r="AC613" s="241">
        <f t="shared" ref="AC613:AN613" si="192">AC608-AC612</f>
        <v>-98497.161999999997</v>
      </c>
      <c r="AD613" s="241">
        <f t="shared" si="192"/>
        <v>-140491.61549999999</v>
      </c>
      <c r="AE613" s="241">
        <f t="shared" si="192"/>
        <v>-94456.800499999998</v>
      </c>
      <c r="AF613" s="241">
        <f t="shared" si="192"/>
        <v>-80131.839999999982</v>
      </c>
      <c r="AG613" s="241">
        <f t="shared" si="192"/>
        <v>-104968.751</v>
      </c>
      <c r="AH613" s="241">
        <f t="shared" si="192"/>
        <v>-154819.70799999998</v>
      </c>
      <c r="AI613" s="241">
        <f t="shared" si="192"/>
        <v>16583.253000000026</v>
      </c>
      <c r="AJ613" s="241">
        <f t="shared" si="192"/>
        <v>-91504.737000000008</v>
      </c>
      <c r="AK613" s="241">
        <f t="shared" si="192"/>
        <v>-112917.32550000001</v>
      </c>
      <c r="AL613" s="241">
        <f t="shared" si="192"/>
        <v>-95958.690500000012</v>
      </c>
      <c r="AM613" s="241">
        <f t="shared" si="192"/>
        <v>81136.671999999991</v>
      </c>
      <c r="AN613" s="241">
        <f t="shared" si="192"/>
        <v>64270.538499999995</v>
      </c>
      <c r="AO613" s="245"/>
      <c r="AP613" s="241">
        <f t="shared" ref="AP613:BA613" si="193">AP608-AP612</f>
        <v>-102759.42049999999</v>
      </c>
      <c r="AQ613" s="241">
        <f t="shared" si="193"/>
        <v>-1376353.2604999999</v>
      </c>
      <c r="AR613" s="241">
        <f t="shared" si="193"/>
        <v>-8662.8919999999998</v>
      </c>
      <c r="AS613" s="241">
        <f t="shared" si="193"/>
        <v>0</v>
      </c>
      <c r="AT613" s="241">
        <f t="shared" si="193"/>
        <v>0</v>
      </c>
      <c r="AU613" s="241">
        <f t="shared" si="193"/>
        <v>0</v>
      </c>
      <c r="AV613" s="241">
        <f t="shared" si="193"/>
        <v>0</v>
      </c>
      <c r="AW613" s="241">
        <f t="shared" si="193"/>
        <v>0</v>
      </c>
      <c r="AX613" s="241">
        <f t="shared" si="193"/>
        <v>0</v>
      </c>
      <c r="AY613" s="241">
        <f t="shared" si="193"/>
        <v>0</v>
      </c>
      <c r="AZ613" s="241">
        <f t="shared" si="193"/>
        <v>0</v>
      </c>
      <c r="BA613" s="241">
        <f t="shared" si="193"/>
        <v>0</v>
      </c>
    </row>
    <row r="614" spans="1:53" s="244" customFormat="1" ht="0.75" customHeight="1" outlineLevel="2" x14ac:dyDescent="0.25">
      <c r="A614" s="211"/>
      <c r="B614" s="212"/>
      <c r="C614" s="238"/>
      <c r="D614" s="246"/>
      <c r="E614" s="246"/>
      <c r="F614" s="241"/>
      <c r="G614" s="241"/>
      <c r="H614" s="236"/>
      <c r="I614" s="237"/>
      <c r="J614" s="242"/>
      <c r="K614" s="241"/>
      <c r="L614" s="241"/>
      <c r="M614" s="236"/>
      <c r="N614" s="237"/>
      <c r="O614" s="284"/>
      <c r="P614" s="285"/>
      <c r="Q614" s="241"/>
      <c r="R614" s="241"/>
      <c r="S614" s="236"/>
      <c r="T614" s="237"/>
      <c r="U614" s="285"/>
      <c r="V614" s="241"/>
      <c r="W614" s="241"/>
      <c r="X614" s="236"/>
      <c r="Y614" s="232"/>
      <c r="AA614" s="241"/>
      <c r="AB614" s="245"/>
      <c r="AC614" s="241"/>
      <c r="AD614" s="241"/>
      <c r="AE614" s="241"/>
      <c r="AF614" s="241"/>
      <c r="AG614" s="241"/>
      <c r="AH614" s="241"/>
      <c r="AI614" s="241"/>
      <c r="AJ614" s="241"/>
      <c r="AK614" s="241"/>
      <c r="AL614" s="241"/>
      <c r="AM614" s="241"/>
      <c r="AN614" s="241"/>
      <c r="AO614" s="245"/>
      <c r="AP614" s="241"/>
      <c r="AQ614" s="241"/>
      <c r="AR614" s="241"/>
      <c r="AS614" s="241"/>
      <c r="AT614" s="241"/>
      <c r="AU614" s="241"/>
      <c r="AV614" s="241"/>
      <c r="AW614" s="241"/>
      <c r="AX614" s="241"/>
      <c r="AY614" s="241"/>
      <c r="AZ614" s="241"/>
      <c r="BA614" s="241"/>
    </row>
    <row r="615" spans="1:53" s="138" customFormat="1" outlineLevel="2" x14ac:dyDescent="0.25">
      <c r="A615" s="138" t="s">
        <v>1637</v>
      </c>
      <c r="B615" s="139" t="s">
        <v>1638</v>
      </c>
      <c r="C615" s="140" t="s">
        <v>1639</v>
      </c>
      <c r="D615" s="141"/>
      <c r="E615" s="142"/>
      <c r="F615" s="143">
        <v>0</v>
      </c>
      <c r="G615" s="143">
        <v>0</v>
      </c>
      <c r="H615" s="144">
        <f>+F615-G615</f>
        <v>0</v>
      </c>
      <c r="I615" s="145">
        <f>IF(G615&lt;0,IF(H615=0,0,IF(OR(G615=0,F615=0),"N.M.",IF(ABS(H615/G615)&gt;=10,"N.M.",H615/(-G615)))),IF(H615=0,0,IF(OR(G615=0,F615=0),"N.M.",IF(ABS(H615/G615)&gt;=10,"N.M.",H615/G615))))</f>
        <v>0</v>
      </c>
      <c r="J615" s="146"/>
      <c r="K615" s="143">
        <v>0</v>
      </c>
      <c r="L615" s="143">
        <v>0</v>
      </c>
      <c r="M615" s="144">
        <f>+K615-L615</f>
        <v>0</v>
      </c>
      <c r="N615" s="145">
        <f>IF(L615&lt;0,IF(M615=0,0,IF(OR(L615=0,K615=0),"N.M.",IF(ABS(M615/L615)&gt;=10,"N.M.",M615/(-L615)))),IF(M615=0,0,IF(OR(L615=0,K615=0),"N.M.",IF(ABS(M615/L615)&gt;=10,"N.M.",M615/L615))))</f>
        <v>0</v>
      </c>
      <c r="O615" s="147"/>
      <c r="P615" s="146"/>
      <c r="Q615" s="143">
        <v>0</v>
      </c>
      <c r="R615" s="143">
        <v>0</v>
      </c>
      <c r="S615" s="144">
        <f>+Q615-R615</f>
        <v>0</v>
      </c>
      <c r="T615" s="145">
        <f>IF(R615&lt;0,IF(S615=0,0,IF(OR(R615=0,Q615=0),"N.M.",IF(ABS(S615/R615)&gt;=10,"N.M.",S615/(-R615)))),IF(S615=0,0,IF(OR(R615=0,Q615=0),"N.M.",IF(ABS(S615/R615)&gt;=10,"N.M.",S615/R615))))</f>
        <v>0</v>
      </c>
      <c r="U615" s="146"/>
      <c r="V615" s="143">
        <v>0</v>
      </c>
      <c r="W615" s="143">
        <v>-11987.97</v>
      </c>
      <c r="X615" s="144">
        <f>+V615-W615</f>
        <v>11987.97</v>
      </c>
      <c r="Y615" s="145" t="str">
        <f>IF(W615&lt;0,IF(X615=0,0,IF(OR(W615=0,V615=0),"N.M.",IF(ABS(X615/W615)&gt;=10,"N.M.",X615/(-W615)))),IF(X615=0,0,IF(OR(W615=0,V615=0),"N.M.",IF(ABS(X615/W615)&gt;=10,"N.M.",X615/W615))))</f>
        <v>N.M.</v>
      </c>
      <c r="Z615" s="148"/>
      <c r="AA615" s="149">
        <v>0</v>
      </c>
      <c r="AB615" s="150"/>
      <c r="AC615" s="117">
        <v>0</v>
      </c>
      <c r="AD615" s="117">
        <v>0</v>
      </c>
      <c r="AE615" s="117">
        <v>0</v>
      </c>
      <c r="AF615" s="117">
        <v>0</v>
      </c>
      <c r="AG615" s="117">
        <v>0</v>
      </c>
      <c r="AH615" s="117">
        <v>0</v>
      </c>
      <c r="AI615" s="117">
        <v>0</v>
      </c>
      <c r="AJ615" s="117">
        <v>0</v>
      </c>
      <c r="AK615" s="117">
        <v>0</v>
      </c>
      <c r="AL615" s="117">
        <v>0</v>
      </c>
      <c r="AM615" s="117">
        <v>0</v>
      </c>
      <c r="AN615" s="117">
        <v>0</v>
      </c>
      <c r="AO615" s="150"/>
      <c r="AP615" s="117">
        <v>0</v>
      </c>
      <c r="AQ615" s="117">
        <v>0</v>
      </c>
      <c r="AR615" s="117">
        <v>0</v>
      </c>
      <c r="AS615" s="117">
        <v>0</v>
      </c>
      <c r="AT615" s="117">
        <v>0</v>
      </c>
      <c r="AU615" s="117">
        <v>0</v>
      </c>
      <c r="AV615" s="117">
        <v>0</v>
      </c>
      <c r="AW615" s="117">
        <v>0</v>
      </c>
      <c r="AX615" s="117">
        <v>0</v>
      </c>
      <c r="AY615" s="117">
        <v>0</v>
      </c>
      <c r="AZ615" s="117">
        <v>0</v>
      </c>
      <c r="BA615" s="117">
        <v>0</v>
      </c>
    </row>
    <row r="616" spans="1:53" s="138" customFormat="1" outlineLevel="2" x14ac:dyDescent="0.25">
      <c r="A616" s="138" t="s">
        <v>1640</v>
      </c>
      <c r="B616" s="139" t="s">
        <v>1641</v>
      </c>
      <c r="C616" s="140" t="s">
        <v>1642</v>
      </c>
      <c r="D616" s="141"/>
      <c r="E616" s="142"/>
      <c r="F616" s="143">
        <v>0</v>
      </c>
      <c r="G616" s="143">
        <v>0</v>
      </c>
      <c r="H616" s="144">
        <f>+F616-G616</f>
        <v>0</v>
      </c>
      <c r="I616" s="145">
        <f>IF(G616&lt;0,IF(H616=0,0,IF(OR(G616=0,F616=0),"N.M.",IF(ABS(H616/G616)&gt;=10,"N.M.",H616/(-G616)))),IF(H616=0,0,IF(OR(G616=0,F616=0),"N.M.",IF(ABS(H616/G616)&gt;=10,"N.M.",H616/G616))))</f>
        <v>0</v>
      </c>
      <c r="J616" s="146"/>
      <c r="K616" s="143">
        <v>0</v>
      </c>
      <c r="L616" s="143">
        <v>0</v>
      </c>
      <c r="M616" s="144">
        <f>+K616-L616</f>
        <v>0</v>
      </c>
      <c r="N616" s="145">
        <f>IF(L616&lt;0,IF(M616=0,0,IF(OR(L616=0,K616=0),"N.M.",IF(ABS(M616/L616)&gt;=10,"N.M.",M616/(-L616)))),IF(M616=0,0,IF(OR(L616=0,K616=0),"N.M.",IF(ABS(M616/L616)&gt;=10,"N.M.",M616/L616))))</f>
        <v>0</v>
      </c>
      <c r="O616" s="147"/>
      <c r="P616" s="146"/>
      <c r="Q616" s="143">
        <v>0</v>
      </c>
      <c r="R616" s="143">
        <v>39875.93</v>
      </c>
      <c r="S616" s="144">
        <f>+Q616-R616</f>
        <v>-39875.93</v>
      </c>
      <c r="T616" s="145" t="str">
        <f>IF(R616&lt;0,IF(S616=0,0,IF(OR(R616=0,Q616=0),"N.M.",IF(ABS(S616/R616)&gt;=10,"N.M.",S616/(-R616)))),IF(S616=0,0,IF(OR(R616=0,Q616=0),"N.M.",IF(ABS(S616/R616)&gt;=10,"N.M.",S616/R616))))</f>
        <v>N.M.</v>
      </c>
      <c r="U616" s="146"/>
      <c r="V616" s="143">
        <v>-8677.69</v>
      </c>
      <c r="W616" s="143">
        <v>43489.18</v>
      </c>
      <c r="X616" s="144">
        <f>+V616-W616</f>
        <v>-52166.87</v>
      </c>
      <c r="Y616" s="145">
        <f>IF(W616&lt;0,IF(X616=0,0,IF(OR(W616=0,V616=0),"N.M.",IF(ABS(X616/W616)&gt;=10,"N.M.",X616/(-W616)))),IF(X616=0,0,IF(OR(W616=0,V616=0),"N.M.",IF(ABS(X616/W616)&gt;=10,"N.M.",X616/W616))))</f>
        <v>-1.1995367583385108</v>
      </c>
      <c r="Z616" s="148"/>
      <c r="AA616" s="149">
        <v>39875.93</v>
      </c>
      <c r="AB616" s="150"/>
      <c r="AC616" s="117">
        <v>0</v>
      </c>
      <c r="AD616" s="117">
        <v>0</v>
      </c>
      <c r="AE616" s="117">
        <v>0</v>
      </c>
      <c r="AF616" s="117">
        <v>0</v>
      </c>
      <c r="AG616" s="117">
        <v>0</v>
      </c>
      <c r="AH616" s="117">
        <v>0</v>
      </c>
      <c r="AI616" s="117">
        <v>0</v>
      </c>
      <c r="AJ616" s="117">
        <v>0</v>
      </c>
      <c r="AK616" s="117">
        <v>0</v>
      </c>
      <c r="AL616" s="117">
        <v>0</v>
      </c>
      <c r="AM616" s="117">
        <v>-8677.69</v>
      </c>
      <c r="AN616" s="117">
        <v>0</v>
      </c>
      <c r="AO616" s="150"/>
      <c r="AP616" s="117">
        <v>0</v>
      </c>
      <c r="AQ616" s="117">
        <v>0</v>
      </c>
      <c r="AR616" s="117">
        <v>0</v>
      </c>
      <c r="AS616" s="117">
        <v>0</v>
      </c>
      <c r="AT616" s="117">
        <v>0</v>
      </c>
      <c r="AU616" s="117">
        <v>0</v>
      </c>
      <c r="AV616" s="117">
        <v>0</v>
      </c>
      <c r="AW616" s="117">
        <v>0</v>
      </c>
      <c r="AX616" s="117">
        <v>0</v>
      </c>
      <c r="AY616" s="117">
        <v>0</v>
      </c>
      <c r="AZ616" s="117">
        <v>0</v>
      </c>
      <c r="BA616" s="117">
        <v>0</v>
      </c>
    </row>
    <row r="617" spans="1:53" s="138" customFormat="1" outlineLevel="2" x14ac:dyDescent="0.25">
      <c r="A617" s="138" t="s">
        <v>1643</v>
      </c>
      <c r="B617" s="139" t="s">
        <v>1644</v>
      </c>
      <c r="C617" s="140" t="s">
        <v>1642</v>
      </c>
      <c r="D617" s="141"/>
      <c r="E617" s="142"/>
      <c r="F617" s="143">
        <v>0</v>
      </c>
      <c r="G617" s="143">
        <v>-8761.68</v>
      </c>
      <c r="H617" s="144">
        <f>+F617-G617</f>
        <v>8761.68</v>
      </c>
      <c r="I617" s="145" t="str">
        <f>IF(G617&lt;0,IF(H617=0,0,IF(OR(G617=0,F617=0),"N.M.",IF(ABS(H617/G617)&gt;=10,"N.M.",H617/(-G617)))),IF(H617=0,0,IF(OR(G617=0,F617=0),"N.M.",IF(ABS(H617/G617)&gt;=10,"N.M.",H617/G617))))</f>
        <v>N.M.</v>
      </c>
      <c r="J617" s="146"/>
      <c r="K617" s="143">
        <v>0</v>
      </c>
      <c r="L617" s="143">
        <v>-10781.66</v>
      </c>
      <c r="M617" s="144">
        <f>+K617-L617</f>
        <v>10781.66</v>
      </c>
      <c r="N617" s="145" t="str">
        <f>IF(L617&lt;0,IF(M617=0,0,IF(OR(L617=0,K617=0),"N.M.",IF(ABS(M617/L617)&gt;=10,"N.M.",M617/(-L617)))),IF(M617=0,0,IF(OR(L617=0,K617=0),"N.M.",IF(ABS(M617/L617)&gt;=10,"N.M.",M617/L617))))</f>
        <v>N.M.</v>
      </c>
      <c r="O617" s="147"/>
      <c r="P617" s="146"/>
      <c r="Q617" s="143">
        <v>29345.87</v>
      </c>
      <c r="R617" s="143">
        <v>-10781.66</v>
      </c>
      <c r="S617" s="144">
        <f>+Q617-R617</f>
        <v>40127.53</v>
      </c>
      <c r="T617" s="145">
        <f>IF(R617&lt;0,IF(S617=0,0,IF(OR(R617=0,Q617=0),"N.M.",IF(ABS(S617/R617)&gt;=10,"N.M.",S617/(-R617)))),IF(S617=0,0,IF(OR(R617=0,Q617=0),"N.M.",IF(ABS(S617/R617)&gt;=10,"N.M.",S617/R617))))</f>
        <v>3.7218322595963884</v>
      </c>
      <c r="U617" s="146"/>
      <c r="V617" s="143">
        <v>54244.06</v>
      </c>
      <c r="W617" s="143">
        <v>-10781.66</v>
      </c>
      <c r="X617" s="144">
        <f>+V617-W617</f>
        <v>65025.72</v>
      </c>
      <c r="Y617" s="145">
        <f>IF(W617&lt;0,IF(X617=0,0,IF(OR(W617=0,V617=0),"N.M.",IF(ABS(X617/W617)&gt;=10,"N.M.",X617/(-W617)))),IF(X617=0,0,IF(OR(W617=0,V617=0),"N.M.",IF(ABS(X617/W617)&gt;=10,"N.M.",X617/W617))))</f>
        <v>6.0311417722317344</v>
      </c>
      <c r="Z617" s="148"/>
      <c r="AA617" s="149">
        <v>0</v>
      </c>
      <c r="AB617" s="150"/>
      <c r="AC617" s="117">
        <v>-2019.98</v>
      </c>
      <c r="AD617" s="117">
        <v>-8761.68</v>
      </c>
      <c r="AE617" s="117">
        <v>-2086.6999999999998</v>
      </c>
      <c r="AF617" s="117">
        <v>-1600.97</v>
      </c>
      <c r="AG617" s="117">
        <v>-4952.24</v>
      </c>
      <c r="AH617" s="117">
        <v>-11592.99</v>
      </c>
      <c r="AI617" s="117">
        <v>17077.400000000001</v>
      </c>
      <c r="AJ617" s="117">
        <v>-1307.6100000000001</v>
      </c>
      <c r="AK617" s="117">
        <v>-4762.82</v>
      </c>
      <c r="AL617" s="117">
        <v>-4274.78</v>
      </c>
      <c r="AM617" s="117">
        <v>38398.9</v>
      </c>
      <c r="AN617" s="117">
        <v>29345.87</v>
      </c>
      <c r="AO617" s="150"/>
      <c r="AP617" s="117">
        <v>0</v>
      </c>
      <c r="AQ617" s="117">
        <v>0</v>
      </c>
      <c r="AR617" s="117">
        <v>0</v>
      </c>
      <c r="AS617" s="117">
        <v>0</v>
      </c>
      <c r="AT617" s="117">
        <v>0</v>
      </c>
      <c r="AU617" s="117">
        <v>0</v>
      </c>
      <c r="AV617" s="117">
        <v>0</v>
      </c>
      <c r="AW617" s="117">
        <v>0</v>
      </c>
      <c r="AX617" s="117">
        <v>0</v>
      </c>
      <c r="AY617" s="117">
        <v>0</v>
      </c>
      <c r="AZ617" s="117">
        <v>0</v>
      </c>
      <c r="BA617" s="117">
        <v>0</v>
      </c>
    </row>
    <row r="618" spans="1:53" s="138" customFormat="1" outlineLevel="2" x14ac:dyDescent="0.25">
      <c r="A618" s="138" t="s">
        <v>1645</v>
      </c>
      <c r="B618" s="139" t="s">
        <v>1646</v>
      </c>
      <c r="C618" s="140" t="s">
        <v>1642</v>
      </c>
      <c r="D618" s="141"/>
      <c r="E618" s="142"/>
      <c r="F618" s="143">
        <v>-231145.04</v>
      </c>
      <c r="G618" s="143">
        <v>0</v>
      </c>
      <c r="H618" s="144">
        <f>+F618-G618</f>
        <v>-231145.04</v>
      </c>
      <c r="I618" s="145" t="str">
        <f>IF(G618&lt;0,IF(H618=0,0,IF(OR(G618=0,F618=0),"N.M.",IF(ABS(H618/G618)&gt;=10,"N.M.",H618/(-G618)))),IF(H618=0,0,IF(OR(G618=0,F618=0),"N.M.",IF(ABS(H618/G618)&gt;=10,"N.M.",H618/G618))))</f>
        <v>N.M.</v>
      </c>
      <c r="J618" s="146"/>
      <c r="K618" s="143">
        <v>-230577.56</v>
      </c>
      <c r="L618" s="143">
        <v>0</v>
      </c>
      <c r="M618" s="144">
        <f>+K618-L618</f>
        <v>-230577.56</v>
      </c>
      <c r="N618" s="145" t="str">
        <f>IF(L618&lt;0,IF(M618=0,0,IF(OR(L618=0,K618=0),"N.M.",IF(ABS(M618/L618)&gt;=10,"N.M.",M618/(-L618)))),IF(M618=0,0,IF(OR(L618=0,K618=0),"N.M.",IF(ABS(M618/L618)&gt;=10,"N.M.",M618/L618))))</f>
        <v>N.M.</v>
      </c>
      <c r="O618" s="147"/>
      <c r="P618" s="146"/>
      <c r="Q618" s="143">
        <v>-230577.56</v>
      </c>
      <c r="R618" s="143">
        <v>0</v>
      </c>
      <c r="S618" s="144">
        <f>+Q618-R618</f>
        <v>-230577.56</v>
      </c>
      <c r="T618" s="145" t="str">
        <f>IF(R618&lt;0,IF(S618=0,0,IF(OR(R618=0,Q618=0),"N.M.",IF(ABS(S618/R618)&gt;=10,"N.M.",S618/(-R618)))),IF(S618=0,0,IF(OR(R618=0,Q618=0),"N.M.",IF(ABS(S618/R618)&gt;=10,"N.M.",S618/R618))))</f>
        <v>N.M.</v>
      </c>
      <c r="U618" s="146"/>
      <c r="V618" s="143">
        <v>-230577.56</v>
      </c>
      <c r="W618" s="143">
        <v>0</v>
      </c>
      <c r="X618" s="144">
        <f>+V618-W618</f>
        <v>-230577.56</v>
      </c>
      <c r="Y618" s="145" t="str">
        <f>IF(W618&lt;0,IF(X618=0,0,IF(OR(W618=0,V618=0),"N.M.",IF(ABS(X618/W618)&gt;=10,"N.M.",X618/(-W618)))),IF(X618=0,0,IF(OR(W618=0,V618=0),"N.M.",IF(ABS(X618/W618)&gt;=10,"N.M.",X618/W618))))</f>
        <v>N.M.</v>
      </c>
      <c r="Z618" s="148"/>
      <c r="AA618" s="149">
        <v>0</v>
      </c>
      <c r="AB618" s="150"/>
      <c r="AC618" s="117">
        <v>0</v>
      </c>
      <c r="AD618" s="117">
        <v>0</v>
      </c>
      <c r="AE618" s="117">
        <v>0</v>
      </c>
      <c r="AF618" s="117">
        <v>0</v>
      </c>
      <c r="AG618" s="117">
        <v>0</v>
      </c>
      <c r="AH618" s="117">
        <v>0</v>
      </c>
      <c r="AI618" s="117">
        <v>0</v>
      </c>
      <c r="AJ618" s="117">
        <v>0</v>
      </c>
      <c r="AK618" s="117">
        <v>0</v>
      </c>
      <c r="AL618" s="117">
        <v>0</v>
      </c>
      <c r="AM618" s="117">
        <v>0</v>
      </c>
      <c r="AN618" s="117">
        <v>0</v>
      </c>
      <c r="AO618" s="150"/>
      <c r="AP618" s="117">
        <v>567.48</v>
      </c>
      <c r="AQ618" s="117">
        <v>-231145.04</v>
      </c>
      <c r="AR618" s="117">
        <v>0</v>
      </c>
      <c r="AS618" s="117">
        <v>0</v>
      </c>
      <c r="AT618" s="117">
        <v>0</v>
      </c>
      <c r="AU618" s="117">
        <v>0</v>
      </c>
      <c r="AV618" s="117">
        <v>0</v>
      </c>
      <c r="AW618" s="117">
        <v>0</v>
      </c>
      <c r="AX618" s="117">
        <v>0</v>
      </c>
      <c r="AY618" s="117">
        <v>0</v>
      </c>
      <c r="AZ618" s="117">
        <v>0</v>
      </c>
      <c r="BA618" s="117">
        <v>0</v>
      </c>
    </row>
    <row r="619" spans="1:53" s="244" customFormat="1" x14ac:dyDescent="0.25">
      <c r="A619" s="211" t="s">
        <v>1647</v>
      </c>
      <c r="B619" s="212" t="s">
        <v>1648</v>
      </c>
      <c r="C619" s="238" t="s">
        <v>1649</v>
      </c>
      <c r="D619" s="246"/>
      <c r="E619" s="246"/>
      <c r="F619" s="215">
        <v>-231145.04</v>
      </c>
      <c r="G619" s="215">
        <v>-8761.68</v>
      </c>
      <c r="H619" s="236">
        <f>+F619-G619</f>
        <v>-222383.36000000002</v>
      </c>
      <c r="I619" s="237" t="str">
        <f>IF(G619&lt;0,IF(H619=0,0,IF(OR(G619=0,F619=0),"N.M.",IF(ABS(H619/G619)&gt;=10,"N.M.",H619/(-G619)))),IF(H619=0,0,IF(OR(G619=0,F619=0),"N.M.",IF(ABS(H619/G619)&gt;=10,"N.M.",H619/G619))))</f>
        <v>N.M.</v>
      </c>
      <c r="J619" s="242"/>
      <c r="K619" s="215">
        <v>-230577.56</v>
      </c>
      <c r="L619" s="215">
        <v>-10781.66</v>
      </c>
      <c r="M619" s="236">
        <f>+K619-L619</f>
        <v>-219795.9</v>
      </c>
      <c r="N619" s="237" t="str">
        <f>IF(L619&lt;0,IF(M619=0,0,IF(OR(L619=0,K619=0),"N.M.",IF(ABS(M619/L619)&gt;=10,"N.M.",M619/(-L619)))),IF(M619=0,0,IF(OR(L619=0,K619=0),"N.M.",IF(ABS(M619/L619)&gt;=10,"N.M.",M619/L619))))</f>
        <v>N.M.</v>
      </c>
      <c r="O619" s="282"/>
      <c r="P619" s="283"/>
      <c r="Q619" s="215">
        <v>-201231.69</v>
      </c>
      <c r="R619" s="215">
        <v>29094.27</v>
      </c>
      <c r="S619" s="236">
        <f>+Q619-R619</f>
        <v>-230325.96</v>
      </c>
      <c r="T619" s="237">
        <f>IF(R619&lt;0,IF(S619=0,0,IF(OR(R619=0,Q619=0),"N.M.",IF(ABS(S619/R619)&gt;=10,"N.M.",S619/(-R619)))),IF(S619=0,0,IF(OR(R619=0,Q619=0),"N.M.",IF(ABS(S619/R619)&gt;=10,"N.M.",S619/R619))))</f>
        <v>-7.916540267207254</v>
      </c>
      <c r="U619" s="283"/>
      <c r="V619" s="215">
        <v>-185011.19</v>
      </c>
      <c r="W619" s="215">
        <v>20719.55</v>
      </c>
      <c r="X619" s="236">
        <f>+V619-W619</f>
        <v>-205730.74</v>
      </c>
      <c r="Y619" s="232">
        <f>IF(W619&lt;0,IF(X619=0,0,IF(OR(W619=0,V619=0),"N.M.",IF(ABS(X619/W619)&gt;=10,"N.M.",X619/(-W619)))),IF(X619=0,0,IF(OR(W619=0,V619=0),"N.M.",IF(ABS(X619/W619)&gt;=10,"N.M.",X619/W619))))</f>
        <v>-9.9293054144515693</v>
      </c>
      <c r="AA619" s="215">
        <v>39875.93</v>
      </c>
      <c r="AB619" s="245"/>
      <c r="AC619" s="215">
        <v>-2019.98</v>
      </c>
      <c r="AD619" s="215">
        <v>-8761.68</v>
      </c>
      <c r="AE619" s="215">
        <v>-2086.6999999999998</v>
      </c>
      <c r="AF619" s="215">
        <v>-1600.97</v>
      </c>
      <c r="AG619" s="215">
        <v>-4952.24</v>
      </c>
      <c r="AH619" s="215">
        <v>-11592.99</v>
      </c>
      <c r="AI619" s="215">
        <v>17077.400000000001</v>
      </c>
      <c r="AJ619" s="215">
        <v>-1307.6100000000001</v>
      </c>
      <c r="AK619" s="215">
        <v>-4762.82</v>
      </c>
      <c r="AL619" s="215">
        <v>-4274.78</v>
      </c>
      <c r="AM619" s="215">
        <v>29721.21</v>
      </c>
      <c r="AN619" s="215">
        <v>29345.87</v>
      </c>
      <c r="AO619" s="245"/>
      <c r="AP619" s="215">
        <v>567.48</v>
      </c>
      <c r="AQ619" s="215">
        <v>-231145.04</v>
      </c>
      <c r="AR619" s="215">
        <v>0</v>
      </c>
      <c r="AS619" s="215">
        <v>0</v>
      </c>
      <c r="AT619" s="215">
        <v>0</v>
      </c>
      <c r="AU619" s="215">
        <v>0</v>
      </c>
      <c r="AV619" s="215">
        <v>0</v>
      </c>
      <c r="AW619" s="215">
        <v>0</v>
      </c>
      <c r="AX619" s="215">
        <v>0</v>
      </c>
      <c r="AY619" s="215">
        <v>0</v>
      </c>
      <c r="AZ619" s="215">
        <v>0</v>
      </c>
      <c r="BA619" s="215">
        <v>0</v>
      </c>
    </row>
    <row r="620" spans="1:53" s="244" customFormat="1" ht="0.75" customHeight="1" outlineLevel="2" x14ac:dyDescent="0.25">
      <c r="A620" s="211"/>
      <c r="B620" s="212"/>
      <c r="C620" s="238"/>
      <c r="D620" s="246"/>
      <c r="E620" s="246"/>
      <c r="F620" s="215"/>
      <c r="G620" s="215"/>
      <c r="H620" s="236"/>
      <c r="I620" s="237"/>
      <c r="J620" s="242"/>
      <c r="K620" s="215"/>
      <c r="L620" s="215"/>
      <c r="M620" s="236"/>
      <c r="N620" s="237"/>
      <c r="O620" s="282"/>
      <c r="P620" s="283"/>
      <c r="Q620" s="215"/>
      <c r="R620" s="215"/>
      <c r="S620" s="236"/>
      <c r="T620" s="237"/>
      <c r="U620" s="283"/>
      <c r="V620" s="215"/>
      <c r="W620" s="215"/>
      <c r="X620" s="236"/>
      <c r="Y620" s="232"/>
      <c r="AA620" s="215"/>
      <c r="AB620" s="245"/>
      <c r="AC620" s="215"/>
      <c r="AD620" s="215"/>
      <c r="AE620" s="215"/>
      <c r="AF620" s="215"/>
      <c r="AG620" s="215"/>
      <c r="AH620" s="215"/>
      <c r="AI620" s="215"/>
      <c r="AJ620" s="215"/>
      <c r="AK620" s="215"/>
      <c r="AL620" s="215"/>
      <c r="AM620" s="215"/>
      <c r="AN620" s="215"/>
      <c r="AO620" s="245"/>
      <c r="AP620" s="215"/>
      <c r="AQ620" s="215"/>
      <c r="AR620" s="215"/>
      <c r="AS620" s="215"/>
      <c r="AT620" s="215"/>
      <c r="AU620" s="215"/>
      <c r="AV620" s="215"/>
      <c r="AW620" s="215"/>
      <c r="AX620" s="215"/>
      <c r="AY620" s="215"/>
      <c r="AZ620" s="215"/>
      <c r="BA620" s="215"/>
    </row>
    <row r="621" spans="1:53" s="138" customFormat="1" outlineLevel="2" x14ac:dyDescent="0.25">
      <c r="A621" s="138" t="s">
        <v>1650</v>
      </c>
      <c r="B621" s="139" t="s">
        <v>1651</v>
      </c>
      <c r="C621" s="140" t="s">
        <v>1652</v>
      </c>
      <c r="D621" s="141"/>
      <c r="E621" s="142"/>
      <c r="F621" s="143">
        <v>1609110.1600000001</v>
      </c>
      <c r="G621" s="143">
        <v>96761.86</v>
      </c>
      <c r="H621" s="144">
        <f>+F621-G621</f>
        <v>1512348.3</v>
      </c>
      <c r="I621" s="145" t="str">
        <f>IF(G621&lt;0,IF(H621=0,0,IF(OR(G621=0,F621=0),"N.M.",IF(ABS(H621/G621)&gt;=10,"N.M.",H621/(-G621)))),IF(H621=0,0,IF(OR(G621=0,F621=0),"N.M.",IF(ABS(H621/G621)&gt;=10,"N.M.",H621/G621))))</f>
        <v>N.M.</v>
      </c>
      <c r="J621" s="146"/>
      <c r="K621" s="143">
        <v>1652761.99</v>
      </c>
      <c r="L621" s="143">
        <v>225589.22</v>
      </c>
      <c r="M621" s="144">
        <f>+K621-L621</f>
        <v>1427172.77</v>
      </c>
      <c r="N621" s="145">
        <f>IF(L621&lt;0,IF(M621=0,0,IF(OR(L621=0,K621=0),"N.M.",IF(ABS(M621/L621)&gt;=10,"N.M.",M621/(-L621)))),IF(M621=0,0,IF(OR(L621=0,K621=0),"N.M.",IF(ABS(M621/L621)&gt;=10,"N.M.",M621/L621))))</f>
        <v>6.3264227342068917</v>
      </c>
      <c r="O621" s="147"/>
      <c r="P621" s="146"/>
      <c r="Q621" s="143">
        <v>1848255.84</v>
      </c>
      <c r="R621" s="143">
        <v>755690.12</v>
      </c>
      <c r="S621" s="144">
        <f>+Q621-R621</f>
        <v>1092565.7200000002</v>
      </c>
      <c r="T621" s="145">
        <f>IF(R621&lt;0,IF(S621=0,0,IF(OR(R621=0,Q621=0),"N.M.",IF(ABS(S621/R621)&gt;=10,"N.M.",S621/(-R621)))),IF(S621=0,0,IF(OR(R621=0,Q621=0),"N.M.",IF(ABS(S621/R621)&gt;=10,"N.M.",S621/R621))))</f>
        <v>1.4457853703314265</v>
      </c>
      <c r="U621" s="146"/>
      <c r="V621" s="143">
        <v>4724100.24</v>
      </c>
      <c r="W621" s="143">
        <v>25781768.73</v>
      </c>
      <c r="X621" s="144">
        <f>+V621-W621</f>
        <v>-21057668.490000002</v>
      </c>
      <c r="Y621" s="145">
        <f>IF(W621&lt;0,IF(X621=0,0,IF(OR(W621=0,V621=0),"N.M.",IF(ABS(X621/W621)&gt;=10,"N.M.",X621/(-W621)))),IF(X621=0,0,IF(OR(W621=0,V621=0),"N.M.",IF(ABS(X621/W621)&gt;=10,"N.M.",X621/W621))))</f>
        <v>-0.81676585925995937</v>
      </c>
      <c r="Z621" s="148"/>
      <c r="AA621" s="149">
        <v>530100.9</v>
      </c>
      <c r="AB621" s="150"/>
      <c r="AC621" s="117">
        <v>128827.36</v>
      </c>
      <c r="AD621" s="117">
        <v>96761.86</v>
      </c>
      <c r="AE621" s="117">
        <v>142006.6</v>
      </c>
      <c r="AF621" s="117">
        <v>326651.42</v>
      </c>
      <c r="AG621" s="117">
        <v>278119.06</v>
      </c>
      <c r="AH621" s="117">
        <v>368234.86</v>
      </c>
      <c r="AI621" s="117">
        <v>579798.57000000007</v>
      </c>
      <c r="AJ621" s="117">
        <v>240375.47</v>
      </c>
      <c r="AK621" s="117">
        <v>307584.05</v>
      </c>
      <c r="AL621" s="117">
        <v>482805.85000000003</v>
      </c>
      <c r="AM621" s="117">
        <v>150268.51999999999</v>
      </c>
      <c r="AN621" s="117">
        <v>195493.85</v>
      </c>
      <c r="AO621" s="150"/>
      <c r="AP621" s="117">
        <v>43651.83</v>
      </c>
      <c r="AQ621" s="117">
        <v>1609110.1600000001</v>
      </c>
      <c r="AR621" s="117">
        <v>0</v>
      </c>
      <c r="AS621" s="117">
        <v>0</v>
      </c>
      <c r="AT621" s="117">
        <v>0</v>
      </c>
      <c r="AU621" s="117">
        <v>0</v>
      </c>
      <c r="AV621" s="117">
        <v>0</v>
      </c>
      <c r="AW621" s="117">
        <v>0</v>
      </c>
      <c r="AX621" s="117">
        <v>0</v>
      </c>
      <c r="AY621" s="117">
        <v>0</v>
      </c>
      <c r="AZ621" s="117">
        <v>0</v>
      </c>
      <c r="BA621" s="117">
        <v>0</v>
      </c>
    </row>
    <row r="622" spans="1:53" s="244" customFormat="1" x14ac:dyDescent="0.25">
      <c r="A622" s="211" t="s">
        <v>1653</v>
      </c>
      <c r="B622" s="212" t="s">
        <v>1654</v>
      </c>
      <c r="C622" s="238" t="s">
        <v>1655</v>
      </c>
      <c r="D622" s="246"/>
      <c r="E622" s="246"/>
      <c r="F622" s="241">
        <v>1609110.1600000001</v>
      </c>
      <c r="G622" s="241">
        <v>96761.86</v>
      </c>
      <c r="H622" s="236">
        <f>+F622-G622</f>
        <v>1512348.3</v>
      </c>
      <c r="I622" s="237" t="str">
        <f>IF(G622&lt;0,IF(H622=0,0,IF(OR(G622=0,F622=0),"N.M.",IF(ABS(H622/G622)&gt;=10,"N.M.",H622/(-G622)))),IF(H622=0,0,IF(OR(G622=0,F622=0),"N.M.",IF(ABS(H622/G622)&gt;=10,"N.M.",H622/G622))))</f>
        <v>N.M.</v>
      </c>
      <c r="J622" s="242"/>
      <c r="K622" s="241">
        <v>1652761.99</v>
      </c>
      <c r="L622" s="241">
        <v>225589.22</v>
      </c>
      <c r="M622" s="236">
        <f>+K622-L622</f>
        <v>1427172.77</v>
      </c>
      <c r="N622" s="237">
        <f>IF(L622&lt;0,IF(M622=0,0,IF(OR(L622=0,K622=0),"N.M.",IF(ABS(M622/L622)&gt;=10,"N.M.",M622/(-L622)))),IF(M622=0,0,IF(OR(L622=0,K622=0),"N.M.",IF(ABS(M622/L622)&gt;=10,"N.M.",M622/L622))))</f>
        <v>6.3264227342068917</v>
      </c>
      <c r="O622" s="284"/>
      <c r="P622" s="285"/>
      <c r="Q622" s="241">
        <v>1848255.84</v>
      </c>
      <c r="R622" s="241">
        <v>755690.12</v>
      </c>
      <c r="S622" s="236">
        <f>+Q622-R622</f>
        <v>1092565.7200000002</v>
      </c>
      <c r="T622" s="237">
        <f>IF(R622&lt;0,IF(S622=0,0,IF(OR(R622=0,Q622=0),"N.M.",IF(ABS(S622/R622)&gt;=10,"N.M.",S622/(-R622)))),IF(S622=0,0,IF(OR(R622=0,Q622=0),"N.M.",IF(ABS(S622/R622)&gt;=10,"N.M.",S622/R622))))</f>
        <v>1.4457853703314265</v>
      </c>
      <c r="U622" s="285"/>
      <c r="V622" s="241">
        <v>4724100.24</v>
      </c>
      <c r="W622" s="241">
        <v>25781768.73</v>
      </c>
      <c r="X622" s="236">
        <f>+V622-W622</f>
        <v>-21057668.490000002</v>
      </c>
      <c r="Y622" s="232">
        <f>IF(W622&lt;0,IF(X622=0,0,IF(OR(W622=0,V622=0),"N.M.",IF(ABS(X622/W622)&gt;=10,"N.M.",X622/(-W622)))),IF(X622=0,0,IF(OR(W622=0,V622=0),"N.M.",IF(ABS(X622/W622)&gt;=10,"N.M.",X622/W622))))</f>
        <v>-0.81676585925995937</v>
      </c>
      <c r="AA622" s="241">
        <v>530100.9</v>
      </c>
      <c r="AB622" s="245"/>
      <c r="AC622" s="241">
        <v>128827.36</v>
      </c>
      <c r="AD622" s="241">
        <v>96761.86</v>
      </c>
      <c r="AE622" s="241">
        <v>142006.6</v>
      </c>
      <c r="AF622" s="241">
        <v>326651.42</v>
      </c>
      <c r="AG622" s="241">
        <v>278119.06</v>
      </c>
      <c r="AH622" s="241">
        <v>368234.86</v>
      </c>
      <c r="AI622" s="241">
        <v>579798.57000000007</v>
      </c>
      <c r="AJ622" s="241">
        <v>240375.47</v>
      </c>
      <c r="AK622" s="241">
        <v>307584.05</v>
      </c>
      <c r="AL622" s="241">
        <v>482805.85000000003</v>
      </c>
      <c r="AM622" s="241">
        <v>150268.51999999999</v>
      </c>
      <c r="AN622" s="241">
        <v>195493.85</v>
      </c>
      <c r="AO622" s="245"/>
      <c r="AP622" s="241">
        <v>43651.83</v>
      </c>
      <c r="AQ622" s="241">
        <v>1609110.1600000001</v>
      </c>
      <c r="AR622" s="241">
        <v>0</v>
      </c>
      <c r="AS622" s="241">
        <v>0</v>
      </c>
      <c r="AT622" s="241">
        <v>0</v>
      </c>
      <c r="AU622" s="241">
        <v>0</v>
      </c>
      <c r="AV622" s="241">
        <v>0</v>
      </c>
      <c r="AW622" s="241">
        <v>0</v>
      </c>
      <c r="AX622" s="241">
        <v>0</v>
      </c>
      <c r="AY622" s="241">
        <v>0</v>
      </c>
      <c r="AZ622" s="241">
        <v>0</v>
      </c>
      <c r="BA622" s="241">
        <v>0</v>
      </c>
    </row>
    <row r="623" spans="1:53" s="244" customFormat="1" ht="0.75" customHeight="1" outlineLevel="2" x14ac:dyDescent="0.25">
      <c r="A623" s="211"/>
      <c r="B623" s="212"/>
      <c r="C623" s="238"/>
      <c r="D623" s="246"/>
      <c r="E623" s="246"/>
      <c r="F623" s="241"/>
      <c r="G623" s="241"/>
      <c r="H623" s="236"/>
      <c r="I623" s="237"/>
      <c r="J623" s="242"/>
      <c r="K623" s="241"/>
      <c r="L623" s="241"/>
      <c r="M623" s="236"/>
      <c r="N623" s="237"/>
      <c r="O623" s="284"/>
      <c r="P623" s="285"/>
      <c r="Q623" s="241"/>
      <c r="R623" s="241"/>
      <c r="S623" s="236"/>
      <c r="T623" s="237"/>
      <c r="U623" s="285"/>
      <c r="V623" s="241"/>
      <c r="W623" s="241"/>
      <c r="X623" s="236"/>
      <c r="Y623" s="232"/>
      <c r="AA623" s="241"/>
      <c r="AB623" s="245"/>
      <c r="AC623" s="241"/>
      <c r="AD623" s="241"/>
      <c r="AE623" s="241"/>
      <c r="AF623" s="241"/>
      <c r="AG623" s="241"/>
      <c r="AH623" s="241"/>
      <c r="AI623" s="241"/>
      <c r="AJ623" s="241"/>
      <c r="AK623" s="241"/>
      <c r="AL623" s="241"/>
      <c r="AM623" s="241"/>
      <c r="AN623" s="241"/>
      <c r="AO623" s="245"/>
      <c r="AP623" s="241"/>
      <c r="AQ623" s="241"/>
      <c r="AR623" s="241"/>
      <c r="AS623" s="241"/>
      <c r="AT623" s="241"/>
      <c r="AU623" s="241"/>
      <c r="AV623" s="241"/>
      <c r="AW623" s="241"/>
      <c r="AX623" s="241"/>
      <c r="AY623" s="241"/>
      <c r="AZ623" s="241"/>
      <c r="BA623" s="241"/>
    </row>
    <row r="624" spans="1:53" s="138" customFormat="1" outlineLevel="2" x14ac:dyDescent="0.25">
      <c r="A624" s="138" t="s">
        <v>1656</v>
      </c>
      <c r="B624" s="139" t="s">
        <v>1657</v>
      </c>
      <c r="C624" s="140" t="s">
        <v>1658</v>
      </c>
      <c r="D624" s="141"/>
      <c r="E624" s="142"/>
      <c r="F624" s="143">
        <v>109240.83</v>
      </c>
      <c r="G624" s="143">
        <v>32151.84</v>
      </c>
      <c r="H624" s="144">
        <f>+F624-G624</f>
        <v>77088.990000000005</v>
      </c>
      <c r="I624" s="145">
        <f>IF(G624&lt;0,IF(H624=0,0,IF(OR(G624=0,F624=0),"N.M.",IF(ABS(H624/G624)&gt;=10,"N.M.",H624/(-G624)))),IF(H624=0,0,IF(OR(G624=0,F624=0),"N.M.",IF(ABS(H624/G624)&gt;=10,"N.M.",H624/G624))))</f>
        <v>2.3976540689428663</v>
      </c>
      <c r="J624" s="146"/>
      <c r="K624" s="143">
        <v>159606.19</v>
      </c>
      <c r="L624" s="143">
        <v>281813.09000000003</v>
      </c>
      <c r="M624" s="144">
        <f>+K624-L624</f>
        <v>-122206.90000000002</v>
      </c>
      <c r="N624" s="145">
        <f>IF(L624&lt;0,IF(M624=0,0,IF(OR(L624=0,K624=0),"N.M.",IF(ABS(M624/L624)&gt;=10,"N.M.",M624/(-L624)))),IF(M624=0,0,IF(OR(L624=0,K624=0),"N.M.",IF(ABS(M624/L624)&gt;=10,"N.M.",M624/L624))))</f>
        <v>-0.43364522208673845</v>
      </c>
      <c r="O624" s="147"/>
      <c r="P624" s="146"/>
      <c r="Q624" s="143">
        <v>1698634.8399999999</v>
      </c>
      <c r="R624" s="143">
        <v>866649.13000000012</v>
      </c>
      <c r="S624" s="144">
        <f>+Q624-R624</f>
        <v>831985.70999999973</v>
      </c>
      <c r="T624" s="145">
        <f>IF(R624&lt;0,IF(S624=0,0,IF(OR(R624=0,Q624=0),"N.M.",IF(ABS(S624/R624)&gt;=10,"N.M.",S624/(-R624)))),IF(S624=0,0,IF(OR(R624=0,Q624=0),"N.M.",IF(ABS(S624/R624)&gt;=10,"N.M.",S624/R624))))</f>
        <v>0.9600029368286559</v>
      </c>
      <c r="U624" s="146"/>
      <c r="V624" s="143">
        <v>4374681.37</v>
      </c>
      <c r="W624" s="143">
        <v>13094928.66</v>
      </c>
      <c r="X624" s="144">
        <f>+V624-W624</f>
        <v>-8720247.2899999991</v>
      </c>
      <c r="Y624" s="145">
        <f>IF(W624&lt;0,IF(X624=0,0,IF(OR(W624=0,V624=0),"N.M.",IF(ABS(X624/W624)&gt;=10,"N.M.",X624/(-W624)))),IF(X624=0,0,IF(OR(W624=0,V624=0),"N.M.",IF(ABS(X624/W624)&gt;=10,"N.M.",X624/W624))))</f>
        <v>-0.66592552860841614</v>
      </c>
      <c r="Z624" s="148"/>
      <c r="AA624" s="149">
        <v>584836.04</v>
      </c>
      <c r="AB624" s="150"/>
      <c r="AC624" s="117">
        <v>249661.25</v>
      </c>
      <c r="AD624" s="117">
        <v>32151.84</v>
      </c>
      <c r="AE624" s="117">
        <v>82573.45</v>
      </c>
      <c r="AF624" s="117">
        <v>166981.53</v>
      </c>
      <c r="AG624" s="117">
        <v>141981.55000000002</v>
      </c>
      <c r="AH624" s="117">
        <v>368809.86</v>
      </c>
      <c r="AI624" s="117">
        <v>824751.53</v>
      </c>
      <c r="AJ624" s="117">
        <v>369309.47000000003</v>
      </c>
      <c r="AK624" s="117">
        <v>152832.07</v>
      </c>
      <c r="AL624" s="117">
        <v>225100.75</v>
      </c>
      <c r="AM624" s="117">
        <v>343706.32</v>
      </c>
      <c r="AN624" s="117">
        <v>1539028.65</v>
      </c>
      <c r="AO624" s="150"/>
      <c r="AP624" s="117">
        <v>50365.36</v>
      </c>
      <c r="AQ624" s="117">
        <v>109240.83</v>
      </c>
      <c r="AR624" s="117">
        <v>0</v>
      </c>
      <c r="AS624" s="117">
        <v>0</v>
      </c>
      <c r="AT624" s="117">
        <v>0</v>
      </c>
      <c r="AU624" s="117">
        <v>0</v>
      </c>
      <c r="AV624" s="117">
        <v>0</v>
      </c>
      <c r="AW624" s="117">
        <v>0</v>
      </c>
      <c r="AX624" s="117">
        <v>0</v>
      </c>
      <c r="AY624" s="117">
        <v>0</v>
      </c>
      <c r="AZ624" s="117">
        <v>0</v>
      </c>
      <c r="BA624" s="117">
        <v>0</v>
      </c>
    </row>
    <row r="625" spans="1:53" s="244" customFormat="1" x14ac:dyDescent="0.25">
      <c r="A625" s="211" t="s">
        <v>1659</v>
      </c>
      <c r="B625" s="212" t="s">
        <v>1660</v>
      </c>
      <c r="C625" s="238" t="s">
        <v>1661</v>
      </c>
      <c r="D625" s="246"/>
      <c r="E625" s="246"/>
      <c r="F625" s="215">
        <v>109240.83</v>
      </c>
      <c r="G625" s="215">
        <v>32151.84</v>
      </c>
      <c r="H625" s="236">
        <f>+F625-G625</f>
        <v>77088.990000000005</v>
      </c>
      <c r="I625" s="237">
        <f>IF(G625&lt;0,IF(H625=0,0,IF(OR(G625=0,F625=0),"N.M.",IF(ABS(H625/G625)&gt;=10,"N.M.",H625/(-G625)))),IF(H625=0,0,IF(OR(G625=0,F625=0),"N.M.",IF(ABS(H625/G625)&gt;=10,"N.M.",H625/G625))))</f>
        <v>2.3976540689428663</v>
      </c>
      <c r="J625" s="242"/>
      <c r="K625" s="215">
        <v>159606.19</v>
      </c>
      <c r="L625" s="215">
        <v>281813.09000000003</v>
      </c>
      <c r="M625" s="236">
        <f>+K625-L625</f>
        <v>-122206.90000000002</v>
      </c>
      <c r="N625" s="237">
        <f>IF(L625&lt;0,IF(M625=0,0,IF(OR(L625=0,K625=0),"N.M.",IF(ABS(M625/L625)&gt;=10,"N.M.",M625/(-L625)))),IF(M625=0,0,IF(OR(L625=0,K625=0),"N.M.",IF(ABS(M625/L625)&gt;=10,"N.M.",M625/L625))))</f>
        <v>-0.43364522208673845</v>
      </c>
      <c r="O625" s="282"/>
      <c r="P625" s="283"/>
      <c r="Q625" s="215">
        <v>1698634.8399999999</v>
      </c>
      <c r="R625" s="215">
        <v>866649.13000000012</v>
      </c>
      <c r="S625" s="236">
        <f>+Q625-R625</f>
        <v>831985.70999999973</v>
      </c>
      <c r="T625" s="237">
        <f>IF(R625&lt;0,IF(S625=0,0,IF(OR(R625=0,Q625=0),"N.M.",IF(ABS(S625/R625)&gt;=10,"N.M.",S625/(-R625)))),IF(S625=0,0,IF(OR(R625=0,Q625=0),"N.M.",IF(ABS(S625/R625)&gt;=10,"N.M.",S625/R625))))</f>
        <v>0.9600029368286559</v>
      </c>
      <c r="U625" s="283"/>
      <c r="V625" s="215">
        <v>4374681.37</v>
      </c>
      <c r="W625" s="215">
        <v>13094928.66</v>
      </c>
      <c r="X625" s="236">
        <f>+V625-W625</f>
        <v>-8720247.2899999991</v>
      </c>
      <c r="Y625" s="232">
        <f>IF(W625&lt;0,IF(X625=0,0,IF(OR(W625=0,V625=0),"N.M.",IF(ABS(X625/W625)&gt;=10,"N.M.",X625/(-W625)))),IF(X625=0,0,IF(OR(W625=0,V625=0),"N.M.",IF(ABS(X625/W625)&gt;=10,"N.M.",X625/W625))))</f>
        <v>-0.66592552860841614</v>
      </c>
      <c r="AA625" s="215">
        <v>584836.04</v>
      </c>
      <c r="AB625" s="245"/>
      <c r="AC625" s="215">
        <v>249661.25</v>
      </c>
      <c r="AD625" s="215">
        <v>32151.84</v>
      </c>
      <c r="AE625" s="215">
        <v>82573.45</v>
      </c>
      <c r="AF625" s="215">
        <v>166981.53</v>
      </c>
      <c r="AG625" s="215">
        <v>141981.55000000002</v>
      </c>
      <c r="AH625" s="215">
        <v>368809.86</v>
      </c>
      <c r="AI625" s="215">
        <v>824751.53</v>
      </c>
      <c r="AJ625" s="215">
        <v>369309.47000000003</v>
      </c>
      <c r="AK625" s="215">
        <v>152832.07</v>
      </c>
      <c r="AL625" s="215">
        <v>225100.75</v>
      </c>
      <c r="AM625" s="215">
        <v>343706.32</v>
      </c>
      <c r="AN625" s="215">
        <v>1539028.65</v>
      </c>
      <c r="AO625" s="245"/>
      <c r="AP625" s="215">
        <v>50365.36</v>
      </c>
      <c r="AQ625" s="215">
        <v>109240.83</v>
      </c>
      <c r="AR625" s="215">
        <v>0</v>
      </c>
      <c r="AS625" s="215">
        <v>0</v>
      </c>
      <c r="AT625" s="215">
        <v>0</v>
      </c>
      <c r="AU625" s="215">
        <v>0</v>
      </c>
      <c r="AV625" s="215">
        <v>0</v>
      </c>
      <c r="AW625" s="215">
        <v>0</v>
      </c>
      <c r="AX625" s="215">
        <v>0</v>
      </c>
      <c r="AY625" s="215">
        <v>0</v>
      </c>
      <c r="AZ625" s="215">
        <v>0</v>
      </c>
      <c r="BA625" s="215">
        <v>0</v>
      </c>
    </row>
    <row r="626" spans="1:53" s="244" customFormat="1" ht="0.75" customHeight="1" outlineLevel="2" x14ac:dyDescent="0.25">
      <c r="A626" s="211"/>
      <c r="B626" s="212"/>
      <c r="C626" s="238"/>
      <c r="D626" s="246"/>
      <c r="E626" s="246"/>
      <c r="F626" s="215"/>
      <c r="G626" s="215"/>
      <c r="H626" s="236"/>
      <c r="I626" s="237"/>
      <c r="J626" s="242"/>
      <c r="K626" s="215"/>
      <c r="L626" s="215"/>
      <c r="M626" s="236"/>
      <c r="N626" s="237"/>
      <c r="O626" s="282"/>
      <c r="P626" s="283"/>
      <c r="Q626" s="215"/>
      <c r="R626" s="215"/>
      <c r="S626" s="236"/>
      <c r="T626" s="237"/>
      <c r="U626" s="283"/>
      <c r="V626" s="215"/>
      <c r="W626" s="215"/>
      <c r="X626" s="236"/>
      <c r="Y626" s="232"/>
      <c r="AA626" s="215"/>
      <c r="AB626" s="245"/>
      <c r="AC626" s="215"/>
      <c r="AD626" s="215"/>
      <c r="AE626" s="215"/>
      <c r="AF626" s="215"/>
      <c r="AG626" s="215"/>
      <c r="AH626" s="215"/>
      <c r="AI626" s="215"/>
      <c r="AJ626" s="215"/>
      <c r="AK626" s="215"/>
      <c r="AL626" s="215"/>
      <c r="AM626" s="215"/>
      <c r="AN626" s="215"/>
      <c r="AO626" s="245"/>
      <c r="AP626" s="215"/>
      <c r="AQ626" s="215"/>
      <c r="AR626" s="215"/>
      <c r="AS626" s="215"/>
      <c r="AT626" s="215"/>
      <c r="AU626" s="215"/>
      <c r="AV626" s="215"/>
      <c r="AW626" s="215"/>
      <c r="AX626" s="215"/>
      <c r="AY626" s="215"/>
      <c r="AZ626" s="215"/>
      <c r="BA626" s="215"/>
    </row>
    <row r="627" spans="1:53" s="244" customFormat="1" x14ac:dyDescent="0.25">
      <c r="A627" s="211" t="s">
        <v>1662</v>
      </c>
      <c r="B627" s="212" t="s">
        <v>1663</v>
      </c>
      <c r="C627" s="238" t="s">
        <v>1664</v>
      </c>
      <c r="D627" s="246"/>
      <c r="E627" s="246"/>
      <c r="F627" s="241">
        <v>0</v>
      </c>
      <c r="G627" s="241">
        <v>0</v>
      </c>
      <c r="H627" s="236">
        <f>+F627-G627</f>
        <v>0</v>
      </c>
      <c r="I627" s="237">
        <f>IF(G627&lt;0,IF(H627=0,0,IF(OR(G627=0,F627=0),"N.M.",IF(ABS(H627/G627)&gt;=10,"N.M.",H627/(-G627)))),IF(H627=0,0,IF(OR(G627=0,F627=0),"N.M.",IF(ABS(H627/G627)&gt;=10,"N.M.",H627/G627))))</f>
        <v>0</v>
      </c>
      <c r="J627" s="242"/>
      <c r="K627" s="241">
        <v>0</v>
      </c>
      <c r="L627" s="241">
        <v>0</v>
      </c>
      <c r="M627" s="236">
        <f>+K627-L627</f>
        <v>0</v>
      </c>
      <c r="N627" s="237">
        <f>IF(L627&lt;0,IF(M627=0,0,IF(OR(L627=0,K627=0),"N.M.",IF(ABS(M627/L627)&gt;=10,"N.M.",M627/(-L627)))),IF(M627=0,0,IF(OR(L627=0,K627=0),"N.M.",IF(ABS(M627/L627)&gt;=10,"N.M.",M627/L627))))</f>
        <v>0</v>
      </c>
      <c r="O627" s="284"/>
      <c r="P627" s="285"/>
      <c r="Q627" s="241">
        <v>0</v>
      </c>
      <c r="R627" s="241">
        <v>0</v>
      </c>
      <c r="S627" s="236">
        <f>+Q627-R627</f>
        <v>0</v>
      </c>
      <c r="T627" s="237">
        <f>IF(R627&lt;0,IF(S627=0,0,IF(OR(R627=0,Q627=0),"N.M.",IF(ABS(S627/R627)&gt;=10,"N.M.",S627/(-R627)))),IF(S627=0,0,IF(OR(R627=0,Q627=0),"N.M.",IF(ABS(S627/R627)&gt;=10,"N.M.",S627/R627))))</f>
        <v>0</v>
      </c>
      <c r="U627" s="285"/>
      <c r="V627" s="241">
        <v>0</v>
      </c>
      <c r="W627" s="241">
        <v>0</v>
      </c>
      <c r="X627" s="236">
        <f>+V627-W627</f>
        <v>0</v>
      </c>
      <c r="Y627" s="232">
        <f>IF(W627&lt;0,IF(X627=0,0,IF(OR(W627=0,V627=0),"N.M.",IF(ABS(X627/W627)&gt;=10,"N.M.",X627/(-W627)))),IF(X627=0,0,IF(OR(W627=0,V627=0),"N.M.",IF(ABS(X627/W627)&gt;=10,"N.M.",X627/W627))))</f>
        <v>0</v>
      </c>
      <c r="AA627" s="241">
        <v>0</v>
      </c>
      <c r="AB627" s="245"/>
      <c r="AC627" s="241">
        <v>0</v>
      </c>
      <c r="AD627" s="241">
        <v>0</v>
      </c>
      <c r="AE627" s="241">
        <v>0</v>
      </c>
      <c r="AF627" s="241">
        <v>0</v>
      </c>
      <c r="AG627" s="241">
        <v>0</v>
      </c>
      <c r="AH627" s="241">
        <v>0</v>
      </c>
      <c r="AI627" s="241">
        <v>0</v>
      </c>
      <c r="AJ627" s="241">
        <v>0</v>
      </c>
      <c r="AK627" s="241">
        <v>0</v>
      </c>
      <c r="AL627" s="241">
        <v>0</v>
      </c>
      <c r="AM627" s="241">
        <v>0</v>
      </c>
      <c r="AN627" s="241">
        <v>0</v>
      </c>
      <c r="AO627" s="245"/>
      <c r="AP627" s="241">
        <v>0</v>
      </c>
      <c r="AQ627" s="241">
        <v>0</v>
      </c>
      <c r="AR627" s="241">
        <v>0</v>
      </c>
      <c r="AS627" s="241">
        <v>0</v>
      </c>
      <c r="AT627" s="241">
        <v>0</v>
      </c>
      <c r="AU627" s="241">
        <v>0</v>
      </c>
      <c r="AV627" s="241">
        <v>0</v>
      </c>
      <c r="AW627" s="241">
        <v>0</v>
      </c>
      <c r="AX627" s="241">
        <v>0</v>
      </c>
      <c r="AY627" s="241">
        <v>0</v>
      </c>
      <c r="AZ627" s="241">
        <v>0</v>
      </c>
      <c r="BA627" s="241">
        <v>0</v>
      </c>
    </row>
    <row r="628" spans="1:53" s="244" customFormat="1" ht="0.75" customHeight="1" outlineLevel="2" x14ac:dyDescent="0.25">
      <c r="A628" s="211"/>
      <c r="B628" s="212"/>
      <c r="C628" s="238"/>
      <c r="D628" s="246"/>
      <c r="E628" s="246"/>
      <c r="F628" s="241"/>
      <c r="G628" s="241"/>
      <c r="H628" s="236"/>
      <c r="I628" s="237"/>
      <c r="J628" s="242"/>
      <c r="K628" s="241"/>
      <c r="L628" s="241"/>
      <c r="M628" s="236"/>
      <c r="N628" s="237"/>
      <c r="O628" s="284"/>
      <c r="P628" s="285"/>
      <c r="Q628" s="241"/>
      <c r="R628" s="241"/>
      <c r="S628" s="236"/>
      <c r="T628" s="237"/>
      <c r="U628" s="285"/>
      <c r="V628" s="241"/>
      <c r="W628" s="241"/>
      <c r="X628" s="236"/>
      <c r="Y628" s="232"/>
      <c r="AA628" s="241"/>
      <c r="AB628" s="245"/>
      <c r="AC628" s="241"/>
      <c r="AD628" s="241"/>
      <c r="AE628" s="241"/>
      <c r="AF628" s="241"/>
      <c r="AG628" s="241"/>
      <c r="AH628" s="241"/>
      <c r="AI628" s="241"/>
      <c r="AJ628" s="241"/>
      <c r="AK628" s="241"/>
      <c r="AL628" s="241"/>
      <c r="AM628" s="241"/>
      <c r="AN628" s="241"/>
      <c r="AO628" s="245"/>
      <c r="AP628" s="241"/>
      <c r="AQ628" s="241"/>
      <c r="AR628" s="241"/>
      <c r="AS628" s="241"/>
      <c r="AT628" s="241"/>
      <c r="AU628" s="241"/>
      <c r="AV628" s="241"/>
      <c r="AW628" s="241"/>
      <c r="AX628" s="241"/>
      <c r="AY628" s="241"/>
      <c r="AZ628" s="241"/>
      <c r="BA628" s="241"/>
    </row>
    <row r="629" spans="1:53" s="244" customFormat="1" x14ac:dyDescent="0.25">
      <c r="A629" s="211" t="s">
        <v>1665</v>
      </c>
      <c r="B629" s="212" t="s">
        <v>1666</v>
      </c>
      <c r="C629" s="264" t="s">
        <v>1667</v>
      </c>
      <c r="D629" s="265"/>
      <c r="E629" s="265"/>
      <c r="F629" s="266">
        <v>0</v>
      </c>
      <c r="G629" s="266">
        <v>0</v>
      </c>
      <c r="H629" s="267">
        <f>+F629-G629</f>
        <v>0</v>
      </c>
      <c r="I629" s="268">
        <f>IF(G629&lt;0,IF(H629=0,0,IF(OR(G629=0,F629=0),"N.M.",IF(ABS(H629/G629)&gt;=10,"N.M.",H629/(-G629)))),IF(H629=0,0,IF(OR(G629=0,F629=0),"N.M.",IF(ABS(H629/G629)&gt;=10,"N.M.",H629/G629))))</f>
        <v>0</v>
      </c>
      <c r="J629" s="269"/>
      <c r="K629" s="266">
        <v>0</v>
      </c>
      <c r="L629" s="266">
        <v>0</v>
      </c>
      <c r="M629" s="267">
        <f>+K629-L629</f>
        <v>0</v>
      </c>
      <c r="N629" s="268">
        <f>IF(L629&lt;0,IF(M629=0,0,IF(OR(L629=0,K629=0),"N.M.",IF(ABS(M629/L629)&gt;=10,"N.M.",M629/(-L629)))),IF(M629=0,0,IF(OR(L629=0,K629=0),"N.M.",IF(ABS(M629/L629)&gt;=10,"N.M.",M629/L629))))</f>
        <v>0</v>
      </c>
      <c r="O629" s="270"/>
      <c r="P629" s="271"/>
      <c r="Q629" s="266">
        <v>0</v>
      </c>
      <c r="R629" s="266">
        <v>0</v>
      </c>
      <c r="S629" s="267">
        <f>+Q629-R629</f>
        <v>0</v>
      </c>
      <c r="T629" s="268">
        <f>IF(R629&lt;0,IF(S629=0,0,IF(OR(R629=0,Q629=0),"N.M.",IF(ABS(S629/R629)&gt;=10,"N.M.",S629/(-R629)))),IF(S629=0,0,IF(OR(R629=0,Q629=0),"N.M.",IF(ABS(S629/R629)&gt;=10,"N.M.",S629/R629))))</f>
        <v>0</v>
      </c>
      <c r="U629" s="271"/>
      <c r="V629" s="266">
        <v>0</v>
      </c>
      <c r="W629" s="266">
        <v>0</v>
      </c>
      <c r="X629" s="267">
        <f>+V629-W629</f>
        <v>0</v>
      </c>
      <c r="Y629" s="272">
        <f>IF(W629&lt;0,IF(X629=0,0,IF(OR(W629=0,V629=0),"N.M.",IF(ABS(X629/W629)&gt;=10,"N.M.",X629/(-W629)))),IF(X629=0,0,IF(OR(W629=0,V629=0),"N.M.",IF(ABS(X629/W629)&gt;=10,"N.M.",X629/W629))))</f>
        <v>0</v>
      </c>
      <c r="Z629" s="273"/>
      <c r="AA629" s="266">
        <v>0</v>
      </c>
      <c r="AB629" s="274"/>
      <c r="AC629" s="266">
        <v>0</v>
      </c>
      <c r="AD629" s="266">
        <v>0</v>
      </c>
      <c r="AE629" s="266">
        <v>0</v>
      </c>
      <c r="AF629" s="266">
        <v>0</v>
      </c>
      <c r="AG629" s="266">
        <v>0</v>
      </c>
      <c r="AH629" s="266">
        <v>0</v>
      </c>
      <c r="AI629" s="266">
        <v>0</v>
      </c>
      <c r="AJ629" s="266">
        <v>0</v>
      </c>
      <c r="AK629" s="266">
        <v>0</v>
      </c>
      <c r="AL629" s="266">
        <v>0</v>
      </c>
      <c r="AM629" s="266">
        <v>0</v>
      </c>
      <c r="AN629" s="266">
        <v>0</v>
      </c>
      <c r="AO629" s="274"/>
      <c r="AP629" s="266">
        <v>0</v>
      </c>
      <c r="AQ629" s="266">
        <v>0</v>
      </c>
      <c r="AR629" s="266">
        <v>0</v>
      </c>
      <c r="AS629" s="266">
        <v>0</v>
      </c>
      <c r="AT629" s="266">
        <v>0</v>
      </c>
      <c r="AU629" s="266">
        <v>0</v>
      </c>
      <c r="AV629" s="266">
        <v>0</v>
      </c>
      <c r="AW629" s="266">
        <v>0</v>
      </c>
      <c r="AX629" s="266">
        <v>0</v>
      </c>
      <c r="AY629" s="266">
        <v>0</v>
      </c>
      <c r="AZ629" s="266">
        <v>0</v>
      </c>
      <c r="BA629" s="266">
        <v>0</v>
      </c>
    </row>
    <row r="630" spans="1:53" s="244" customFormat="1" ht="0.75" customHeight="1" outlineLevel="2" x14ac:dyDescent="0.25">
      <c r="A630" s="211"/>
      <c r="B630" s="212"/>
      <c r="C630" s="238"/>
      <c r="D630" s="246"/>
      <c r="E630" s="246"/>
      <c r="F630" s="215"/>
      <c r="G630" s="215"/>
      <c r="H630" s="236"/>
      <c r="I630" s="237"/>
      <c r="J630" s="242"/>
      <c r="K630" s="215"/>
      <c r="L630" s="215"/>
      <c r="M630" s="236"/>
      <c r="N630" s="237"/>
      <c r="O630" s="282"/>
      <c r="P630" s="283"/>
      <c r="Q630" s="215"/>
      <c r="R630" s="215"/>
      <c r="S630" s="236"/>
      <c r="T630" s="237"/>
      <c r="U630" s="283"/>
      <c r="V630" s="215"/>
      <c r="W630" s="215"/>
      <c r="X630" s="236"/>
      <c r="Y630" s="232"/>
      <c r="AA630" s="215"/>
      <c r="AB630" s="245"/>
      <c r="AC630" s="215"/>
      <c r="AD630" s="215"/>
      <c r="AE630" s="215"/>
      <c r="AF630" s="215"/>
      <c r="AG630" s="215"/>
      <c r="AH630" s="215"/>
      <c r="AI630" s="215"/>
      <c r="AJ630" s="215"/>
      <c r="AK630" s="215"/>
      <c r="AL630" s="215"/>
      <c r="AM630" s="215"/>
      <c r="AN630" s="215"/>
      <c r="AO630" s="245"/>
      <c r="AP630" s="215"/>
      <c r="AQ630" s="215"/>
      <c r="AR630" s="215"/>
      <c r="AS630" s="215"/>
      <c r="AT630" s="215"/>
      <c r="AU630" s="215"/>
      <c r="AV630" s="215"/>
      <c r="AW630" s="215"/>
      <c r="AX630" s="215"/>
      <c r="AY630" s="215"/>
      <c r="AZ630" s="215"/>
      <c r="BA630" s="215"/>
    </row>
    <row r="631" spans="1:53" s="244" customFormat="1" x14ac:dyDescent="0.25">
      <c r="A631" s="211"/>
      <c r="B631" s="212" t="s">
        <v>1668</v>
      </c>
      <c r="C631" s="275" t="s">
        <v>1669</v>
      </c>
      <c r="D631" s="276"/>
      <c r="E631" s="276"/>
      <c r="F631" s="277">
        <f>SUM(F604,F613,F619,F622,-F625,F627,F629)</f>
        <v>-106249.97049999975</v>
      </c>
      <c r="G631" s="277">
        <f>SUM(G604,G613,G619,G622,-G625,G627,G629)</f>
        <v>-83346.275499999974</v>
      </c>
      <c r="H631" s="278">
        <f>+F631-G631</f>
        <v>-22903.694999999774</v>
      </c>
      <c r="I631" s="279">
        <f>IF(G631&lt;0,IF(H631=0,0,IF(OR(G631=0,F631=0),"N.M.",IF(ABS(H631/G631)&gt;=10,"N.M.",H631/(-G631)))),IF(H631=0,0,IF(OR(G631=0,F631=0),"N.M.",IF(ABS(H631/G631)&gt;=10,"N.M.",H631/G631))))</f>
        <v>-0.27480166165313269</v>
      </c>
      <c r="J631" s="242"/>
      <c r="K631" s="277">
        <f>SUM(K604,K613,K619,K622,-K625,K627,K629)</f>
        <v>-213776.44100000017</v>
      </c>
      <c r="L631" s="277">
        <f>SUM(L604,L613,L619,L622,-L625,L627,L629)</f>
        <v>-303400.3075</v>
      </c>
      <c r="M631" s="278">
        <f>+K631-L631</f>
        <v>89623.866499999829</v>
      </c>
      <c r="N631" s="279">
        <f>IF(L631&lt;0,IF(M631=0,0,IF(OR(L631=0,K631=0),"N.M.",IF(ABS(M631/L631)&gt;=10,"N.M.",M631/(-L631)))),IF(M631=0,0,IF(OR(L631=0,K631=0),"N.M.",IF(ABS(M631/L631)&gt;=10,"N.M.",M631/L631))))</f>
        <v>0.29539807404446955</v>
      </c>
      <c r="O631" s="181"/>
      <c r="P631" s="263"/>
      <c r="Q631" s="277">
        <f>SUM(Q604,Q613,Q619,Q622,-Q625,Q627,Q629)</f>
        <v>-1462164.1224999998</v>
      </c>
      <c r="R631" s="277">
        <f>SUM(R604,R613,R619,R622,-R625,R627,R629)</f>
        <v>-131454.95850000007</v>
      </c>
      <c r="S631" s="278">
        <f>+Q631-R631</f>
        <v>-1330709.1639999999</v>
      </c>
      <c r="T631" s="279" t="str">
        <f>IF(R631&lt;0,IF(S631=0,0,IF(OR(R631=0,Q631=0),"N.M.",IF(ABS(S631/R631)&gt;=10,"N.M.",S631/(-R631)))),IF(S631=0,0,IF(OR(R631=0,Q631=0),"N.M.",IF(ABS(S631/R631)&gt;=10,"N.M.",S631/R631))))</f>
        <v>N.M.</v>
      </c>
      <c r="U631" s="263"/>
      <c r="V631" s="277">
        <f>SUM(V604,V613,V619,V622,-V625,V627,V629)</f>
        <v>-1871510.6799999997</v>
      </c>
      <c r="W631" s="277">
        <f>SUM(W604,W613,W619,W622,-W625,W627,W629)</f>
        <v>11854278.993500002</v>
      </c>
      <c r="X631" s="278">
        <f>+V631-W631</f>
        <v>-13725789.673500001</v>
      </c>
      <c r="Y631" s="280">
        <f>IF(W631&lt;0,IF(X631=0,0,IF(OR(W631=0,V631=0),"N.M.",IF(ABS(X631/W631)&gt;=10,"N.M.",X631/(-W631)))),IF(X631=0,0,IF(OR(W631=0,V631=0),"N.M.",IF(ABS(X631/W631)&gt;=10,"N.M.",X631/W631))))</f>
        <v>-1.1578763821086204</v>
      </c>
      <c r="AA631" s="277">
        <f>SUM(AA604,AA613,AA619,AA622,-AA625,AA627,AA629)</f>
        <v>171945.34900000005</v>
      </c>
      <c r="AB631" s="245"/>
      <c r="AC631" s="277">
        <f t="shared" ref="AC631:AN631" si="194">SUM(AC604,AC613,AC619,AC622,-AC625,AC627,AC629)</f>
        <v>-220054.03200000001</v>
      </c>
      <c r="AD631" s="277">
        <f t="shared" si="194"/>
        <v>-83346.275499999974</v>
      </c>
      <c r="AE631" s="277">
        <f t="shared" si="194"/>
        <v>-35813.350499999986</v>
      </c>
      <c r="AF631" s="277">
        <f t="shared" si="194"/>
        <v>79234.079999999987</v>
      </c>
      <c r="AG631" s="277">
        <f t="shared" si="194"/>
        <v>27513.518999999971</v>
      </c>
      <c r="AH631" s="277">
        <f t="shared" si="194"/>
        <v>-165690.69799999997</v>
      </c>
      <c r="AI631" s="277">
        <f t="shared" si="194"/>
        <v>-209995.30699999991</v>
      </c>
      <c r="AJ631" s="277">
        <f t="shared" si="194"/>
        <v>-220449.34700000004</v>
      </c>
      <c r="AK631" s="277">
        <f t="shared" si="194"/>
        <v>38368.834499999968</v>
      </c>
      <c r="AL631" s="277">
        <f t="shared" si="194"/>
        <v>158768.62950000004</v>
      </c>
      <c r="AM631" s="277">
        <f t="shared" si="194"/>
        <v>-81282.918000000005</v>
      </c>
      <c r="AN631" s="277">
        <f t="shared" si="194"/>
        <v>-1248387.6814999999</v>
      </c>
      <c r="AO631" s="245"/>
      <c r="AP631" s="277">
        <f t="shared" ref="AP631:BA631" si="195">SUM(AP604,AP613,AP619,AP622,-AP625,AP627,AP629)</f>
        <v>-107526.4705</v>
      </c>
      <c r="AQ631" s="277">
        <f t="shared" si="195"/>
        <v>-106249.97049999975</v>
      </c>
      <c r="AR631" s="277">
        <f t="shared" si="195"/>
        <v>-8662.8919999999998</v>
      </c>
      <c r="AS631" s="277">
        <f t="shared" si="195"/>
        <v>0</v>
      </c>
      <c r="AT631" s="277">
        <f t="shared" si="195"/>
        <v>0</v>
      </c>
      <c r="AU631" s="277">
        <f t="shared" si="195"/>
        <v>0</v>
      </c>
      <c r="AV631" s="277">
        <f t="shared" si="195"/>
        <v>0</v>
      </c>
      <c r="AW631" s="277">
        <f t="shared" si="195"/>
        <v>0</v>
      </c>
      <c r="AX631" s="277">
        <f t="shared" si="195"/>
        <v>0</v>
      </c>
      <c r="AY631" s="277">
        <f t="shared" si="195"/>
        <v>0</v>
      </c>
      <c r="AZ631" s="277">
        <f t="shared" si="195"/>
        <v>0</v>
      </c>
      <c r="BA631" s="277">
        <f t="shared" si="195"/>
        <v>0</v>
      </c>
    </row>
    <row r="632" spans="1:53" s="244" customFormat="1" x14ac:dyDescent="0.25">
      <c r="A632" s="211"/>
      <c r="B632" s="212" t="s">
        <v>1670</v>
      </c>
      <c r="C632" s="281" t="s">
        <v>1671</v>
      </c>
      <c r="D632" s="276"/>
      <c r="E632" s="276"/>
      <c r="F632" s="277">
        <f>+F568-F597-F631</f>
        <v>234049.82049999974</v>
      </c>
      <c r="G632" s="277">
        <f>+G568-G597-G631</f>
        <v>-30753.85450000003</v>
      </c>
      <c r="H632" s="278">
        <f>+F632-G632</f>
        <v>264803.67499999976</v>
      </c>
      <c r="I632" s="279">
        <f>IF(G632&lt;0,IF(H632=0,0,IF(OR(G632=0,F632=0),"N.M.",IF(ABS(H632/G632)&gt;=10,"N.M.",H632/(-G632)))),IF(H632=0,0,IF(OR(G632=0,F632=0),"N.M.",IF(ABS(H632/G632)&gt;=10,"N.M.",H632/G632))))</f>
        <v>8.6104223130794715</v>
      </c>
      <c r="J632" s="242"/>
      <c r="K632" s="277">
        <f>+K568-K597-K631</f>
        <v>7324.7710000001243</v>
      </c>
      <c r="L632" s="277">
        <f>+L568-L597-L631</f>
        <v>-359041.53250000009</v>
      </c>
      <c r="M632" s="278">
        <f>+K632-L632</f>
        <v>366366.30350000021</v>
      </c>
      <c r="N632" s="279">
        <f>IF(L632&lt;0,IF(M632=0,0,IF(OR(L632=0,K632=0),"N.M.",IF(ABS(M632/L632)&gt;=10,"N.M.",M632/(-L632)))),IF(M632=0,0,IF(OR(L632=0,K632=0),"N.M.",IF(ABS(M632/L632)&gt;=10,"N.M.",M632/L632))))</f>
        <v>1.0204009016700599</v>
      </c>
      <c r="O632" s="181"/>
      <c r="P632" s="263"/>
      <c r="Q632" s="277">
        <f>+Q568-Q597-Q631</f>
        <v>-2386664.3175000008</v>
      </c>
      <c r="R632" s="277">
        <f>+R568-R597-R631</f>
        <v>-1111948.6614999999</v>
      </c>
      <c r="S632" s="278">
        <f>+Q632-R632</f>
        <v>-1274715.6560000009</v>
      </c>
      <c r="T632" s="279">
        <f>IF(R632&lt;0,IF(S632=0,0,IF(OR(R632=0,Q632=0),"N.M.",IF(ABS(S632/R632)&gt;=10,"N.M.",S632/(-R632)))),IF(S632=0,0,IF(OR(R632=0,Q632=0),"N.M.",IF(ABS(S632/R632)&gt;=10,"N.M.",S632/R632))))</f>
        <v>-1.1463799545209499</v>
      </c>
      <c r="U632" s="263"/>
      <c r="V632" s="277">
        <f>+V568-V597-V631</f>
        <v>-3327639.8600000013</v>
      </c>
      <c r="W632" s="277">
        <f>+W568-W597-W631</f>
        <v>-9767732.6535000019</v>
      </c>
      <c r="X632" s="278">
        <f>+V632-W632</f>
        <v>6440092.7935000006</v>
      </c>
      <c r="Y632" s="280">
        <f>IF(W632&lt;0,IF(X632=0,0,IF(OR(W632=0,V632=0),"N.M.",IF(ABS(X632/W632)&gt;=10,"N.M.",X632/(-W632)))),IF(X632=0,0,IF(OR(W632=0,V632=0),"N.M.",IF(ABS(X632/W632)&gt;=10,"N.M.",X632/W632))))</f>
        <v>0.65932320446878412</v>
      </c>
      <c r="AA632" s="277">
        <f>+AA568-AA597-AA631</f>
        <v>-752907.12900000007</v>
      </c>
      <c r="AB632" s="245"/>
      <c r="AC632" s="277">
        <f t="shared" ref="AC632:AN632" si="196">+AC568-AC597-AC631</f>
        <v>-328287.67799999996</v>
      </c>
      <c r="AD632" s="277">
        <f t="shared" si="196"/>
        <v>-30753.85450000003</v>
      </c>
      <c r="AE632" s="277">
        <f t="shared" si="196"/>
        <v>60777.550500000056</v>
      </c>
      <c r="AF632" s="277">
        <f t="shared" si="196"/>
        <v>237752.78</v>
      </c>
      <c r="AG632" s="277">
        <f t="shared" si="196"/>
        <v>177632.37099999998</v>
      </c>
      <c r="AH632" s="277">
        <f t="shared" si="196"/>
        <v>-547433.70199999993</v>
      </c>
      <c r="AI632" s="277">
        <f t="shared" si="196"/>
        <v>-645051.83300000022</v>
      </c>
      <c r="AJ632" s="277">
        <f t="shared" si="196"/>
        <v>-474442.18299999996</v>
      </c>
      <c r="AK632" s="277">
        <f t="shared" si="196"/>
        <v>49236.41550000009</v>
      </c>
      <c r="AL632" s="277">
        <f t="shared" si="196"/>
        <v>237130.08049999992</v>
      </c>
      <c r="AM632" s="277">
        <f t="shared" si="196"/>
        <v>-36577.021999999939</v>
      </c>
      <c r="AN632" s="277">
        <f t="shared" si="196"/>
        <v>-2393989.0885000001</v>
      </c>
      <c r="AO632" s="245"/>
      <c r="AP632" s="277">
        <f t="shared" ref="AP632:BA632" si="197">+AP568-AP597-AP631</f>
        <v>-226725.04950000002</v>
      </c>
      <c r="AQ632" s="277">
        <f t="shared" si="197"/>
        <v>234049.82049999974</v>
      </c>
      <c r="AR632" s="277">
        <f t="shared" si="197"/>
        <v>-1933714.5779999997</v>
      </c>
      <c r="AS632" s="277">
        <f t="shared" si="197"/>
        <v>105469.32</v>
      </c>
      <c r="AT632" s="277">
        <f t="shared" si="197"/>
        <v>0</v>
      </c>
      <c r="AU632" s="277">
        <f t="shared" si="197"/>
        <v>0</v>
      </c>
      <c r="AV632" s="277">
        <f t="shared" si="197"/>
        <v>0</v>
      </c>
      <c r="AW632" s="277">
        <f t="shared" si="197"/>
        <v>0</v>
      </c>
      <c r="AX632" s="277">
        <f t="shared" si="197"/>
        <v>0</v>
      </c>
      <c r="AY632" s="277">
        <f t="shared" si="197"/>
        <v>0</v>
      </c>
      <c r="AZ632" s="277">
        <f t="shared" si="197"/>
        <v>0</v>
      </c>
      <c r="BA632" s="277">
        <f t="shared" si="197"/>
        <v>0</v>
      </c>
    </row>
    <row r="633" spans="1:53" s="211" customFormat="1" x14ac:dyDescent="0.25">
      <c r="B633" s="212" t="s">
        <v>1672</v>
      </c>
      <c r="C633" s="222" t="s">
        <v>1673</v>
      </c>
      <c r="D633" s="223"/>
      <c r="E633" s="223"/>
      <c r="F633" s="224"/>
      <c r="G633" s="224"/>
      <c r="H633" s="224"/>
      <c r="I633" s="224"/>
      <c r="J633" s="225"/>
      <c r="K633" s="226"/>
      <c r="L633" s="226"/>
      <c r="M633" s="226"/>
      <c r="N633" s="227"/>
      <c r="O633" s="224"/>
      <c r="P633" s="225"/>
      <c r="Q633" s="224"/>
      <c r="R633" s="224"/>
      <c r="S633" s="224"/>
      <c r="T633" s="224"/>
      <c r="U633" s="225"/>
      <c r="V633" s="224"/>
      <c r="W633" s="224"/>
      <c r="X633" s="224"/>
      <c r="Y633" s="224"/>
      <c r="Z633" s="224"/>
      <c r="AA633" s="226"/>
      <c r="AB633" s="228"/>
      <c r="AC633" s="226"/>
      <c r="AD633" s="226"/>
      <c r="AE633" s="226"/>
      <c r="AF633" s="226"/>
      <c r="AG633" s="226"/>
      <c r="AH633" s="226"/>
      <c r="AI633" s="226"/>
      <c r="AJ633" s="226"/>
      <c r="AK633" s="226"/>
      <c r="AL633" s="226"/>
      <c r="AM633" s="226"/>
      <c r="AN633" s="226"/>
      <c r="AO633" s="228"/>
      <c r="AP633" s="226"/>
      <c r="AQ633" s="226"/>
      <c r="AR633" s="226"/>
      <c r="AS633" s="226"/>
      <c r="AT633" s="226"/>
      <c r="AU633" s="226"/>
      <c r="AV633" s="226"/>
      <c r="AW633" s="226"/>
      <c r="AX633" s="226"/>
      <c r="AY633" s="226"/>
      <c r="AZ633" s="226"/>
      <c r="BA633" s="226"/>
    </row>
    <row r="634" spans="1:53" s="244" customFormat="1" ht="0.75" customHeight="1" outlineLevel="2" x14ac:dyDescent="0.25">
      <c r="A634" s="211"/>
      <c r="B634" s="212"/>
      <c r="C634" s="294"/>
      <c r="D634" s="287"/>
      <c r="E634" s="287"/>
      <c r="F634" s="288"/>
      <c r="G634" s="288"/>
      <c r="H634" s="288"/>
      <c r="I634" s="289"/>
      <c r="J634" s="242"/>
      <c r="K634" s="288"/>
      <c r="L634" s="288"/>
      <c r="M634" s="288"/>
      <c r="N634" s="289"/>
      <c r="O634" s="290"/>
      <c r="P634" s="291"/>
      <c r="Q634" s="288"/>
      <c r="R634" s="288"/>
      <c r="S634" s="288"/>
      <c r="T634" s="289"/>
      <c r="U634" s="291"/>
      <c r="V634" s="288"/>
      <c r="W634" s="288"/>
      <c r="X634" s="288"/>
      <c r="Y634" s="292"/>
      <c r="AA634" s="288"/>
      <c r="AB634" s="245"/>
      <c r="AC634" s="288"/>
      <c r="AD634" s="288"/>
      <c r="AE634" s="288"/>
      <c r="AF634" s="288"/>
      <c r="AG634" s="288"/>
      <c r="AH634" s="288"/>
      <c r="AI634" s="288"/>
      <c r="AJ634" s="288"/>
      <c r="AK634" s="288"/>
      <c r="AL634" s="288"/>
      <c r="AM634" s="288"/>
      <c r="AN634" s="288"/>
      <c r="AO634" s="245"/>
      <c r="AP634" s="288"/>
      <c r="AQ634" s="288"/>
      <c r="AR634" s="288"/>
      <c r="AS634" s="288"/>
      <c r="AT634" s="288"/>
      <c r="AU634" s="288"/>
      <c r="AV634" s="288"/>
      <c r="AW634" s="288"/>
      <c r="AX634" s="288"/>
      <c r="AY634" s="288"/>
      <c r="AZ634" s="288"/>
      <c r="BA634" s="288"/>
    </row>
    <row r="635" spans="1:53" s="138" customFormat="1" outlineLevel="2" x14ac:dyDescent="0.25">
      <c r="A635" s="138" t="s">
        <v>1674</v>
      </c>
      <c r="B635" s="139" t="s">
        <v>1675</v>
      </c>
      <c r="C635" s="140" t="s">
        <v>1676</v>
      </c>
      <c r="D635" s="141"/>
      <c r="E635" s="142"/>
      <c r="F635" s="143">
        <v>33319.18</v>
      </c>
      <c r="G635" s="143">
        <v>1030.05</v>
      </c>
      <c r="H635" s="144">
        <f>+F635-G635</f>
        <v>32289.13</v>
      </c>
      <c r="I635" s="145" t="str">
        <f>IF(G635&lt;0,IF(H635=0,0,IF(OR(G635=0,F635=0),"N.M.",IF(ABS(H635/G635)&gt;=10,"N.M.",H635/(-G635)))),IF(H635=0,0,IF(OR(G635=0,F635=0),"N.M.",IF(ABS(H635/G635)&gt;=10,"N.M.",H635/G635))))</f>
        <v>N.M.</v>
      </c>
      <c r="J635" s="146"/>
      <c r="K635" s="143">
        <v>72746.960000000006</v>
      </c>
      <c r="L635" s="143">
        <v>2131.2800000000002</v>
      </c>
      <c r="M635" s="144">
        <f>+K635-L635</f>
        <v>70615.680000000008</v>
      </c>
      <c r="N635" s="145" t="str">
        <f>IF(L635&lt;0,IF(M635=0,0,IF(OR(L635=0,K635=0),"N.M.",IF(ABS(M635/L635)&gt;=10,"N.M.",M635/(-L635)))),IF(M635=0,0,IF(OR(L635=0,K635=0),"N.M.",IF(ABS(M635/L635)&gt;=10,"N.M.",M635/L635))))</f>
        <v>N.M.</v>
      </c>
      <c r="O635" s="147"/>
      <c r="P635" s="146"/>
      <c r="Q635" s="143">
        <v>108976.47</v>
      </c>
      <c r="R635" s="143">
        <v>3235.26</v>
      </c>
      <c r="S635" s="144">
        <f>+Q635-R635</f>
        <v>105741.21</v>
      </c>
      <c r="T635" s="145" t="str">
        <f>IF(R635&lt;0,IF(S635=0,0,IF(OR(R635=0,Q635=0),"N.M.",IF(ABS(S635/R635)&gt;=10,"N.M.",S635/(-R635)))),IF(S635=0,0,IF(OR(R635=0,Q635=0),"N.M.",IF(ABS(S635/R635)&gt;=10,"N.M.",S635/R635))))</f>
        <v>N.M.</v>
      </c>
      <c r="U635" s="146"/>
      <c r="V635" s="143">
        <v>349103.53</v>
      </c>
      <c r="W635" s="143">
        <v>27187.32</v>
      </c>
      <c r="X635" s="144">
        <f>+V635-W635</f>
        <v>321916.21000000002</v>
      </c>
      <c r="Y635" s="145" t="str">
        <f>IF(W635&lt;0,IF(X635=0,0,IF(OR(W635=0,V635=0),"N.M.",IF(ABS(X635/W635)&gt;=10,"N.M.",X635/(-W635)))),IF(X635=0,0,IF(OR(W635=0,V635=0),"N.M.",IF(ABS(X635/W635)&gt;=10,"N.M.",X635/W635))))</f>
        <v>N.M.</v>
      </c>
      <c r="Z635" s="148"/>
      <c r="AA635" s="149">
        <v>1103.98</v>
      </c>
      <c r="AB635" s="150"/>
      <c r="AC635" s="117">
        <v>1101.23</v>
      </c>
      <c r="AD635" s="117">
        <v>1030.05</v>
      </c>
      <c r="AE635" s="117">
        <v>8542.35</v>
      </c>
      <c r="AF635" s="117">
        <v>22785.52</v>
      </c>
      <c r="AG635" s="117">
        <v>22945.350000000002</v>
      </c>
      <c r="AH635" s="117">
        <v>22377.05</v>
      </c>
      <c r="AI635" s="117">
        <v>23336.07</v>
      </c>
      <c r="AJ635" s="117">
        <v>27385.25</v>
      </c>
      <c r="AK635" s="117">
        <v>38402.1</v>
      </c>
      <c r="AL635" s="117">
        <v>44108.83</v>
      </c>
      <c r="AM635" s="117">
        <v>30244.54</v>
      </c>
      <c r="AN635" s="117">
        <v>36229.51</v>
      </c>
      <c r="AO635" s="150"/>
      <c r="AP635" s="117">
        <v>39427.78</v>
      </c>
      <c r="AQ635" s="117">
        <v>33319.18</v>
      </c>
      <c r="AR635" s="117">
        <v>0</v>
      </c>
      <c r="AS635" s="117">
        <v>0</v>
      </c>
      <c r="AT635" s="117">
        <v>0</v>
      </c>
      <c r="AU635" s="117">
        <v>0</v>
      </c>
      <c r="AV635" s="117">
        <v>0</v>
      </c>
      <c r="AW635" s="117">
        <v>0</v>
      </c>
      <c r="AX635" s="117">
        <v>0</v>
      </c>
      <c r="AY635" s="117">
        <v>0</v>
      </c>
      <c r="AZ635" s="117">
        <v>0</v>
      </c>
      <c r="BA635" s="117">
        <v>0</v>
      </c>
    </row>
    <row r="636" spans="1:53" s="138" customFormat="1" outlineLevel="2" x14ac:dyDescent="0.25">
      <c r="A636" s="138" t="s">
        <v>1677</v>
      </c>
      <c r="B636" s="139" t="s">
        <v>1678</v>
      </c>
      <c r="C636" s="140" t="s">
        <v>1679</v>
      </c>
      <c r="D636" s="141"/>
      <c r="E636" s="142"/>
      <c r="F636" s="143">
        <v>103062.5</v>
      </c>
      <c r="G636" s="143">
        <v>127479.17</v>
      </c>
      <c r="H636" s="144">
        <f>+F636-G636</f>
        <v>-24416.67</v>
      </c>
      <c r="I636" s="145">
        <f>IF(G636&lt;0,IF(H636=0,0,IF(OR(G636=0,F636=0),"N.M.",IF(ABS(H636/G636)&gt;=10,"N.M.",H636/(-G636)))),IF(H636=0,0,IF(OR(G636=0,F636=0),"N.M.",IF(ABS(H636/G636)&gt;=10,"N.M.",H636/G636))))</f>
        <v>-0.19153458561112374</v>
      </c>
      <c r="J636" s="146"/>
      <c r="K636" s="143">
        <v>257416.66</v>
      </c>
      <c r="L636" s="143">
        <v>255451.39</v>
      </c>
      <c r="M636" s="144">
        <f>+K636-L636</f>
        <v>1965.2699999999895</v>
      </c>
      <c r="N636" s="145">
        <f>IF(L636&lt;0,IF(M636=0,0,IF(OR(L636=0,K636=0),"N.M.",IF(ABS(M636/L636)&gt;=10,"N.M.",M636/(-L636)))),IF(M636=0,0,IF(OR(L636=0,K636=0),"N.M.",IF(ABS(M636/L636)&gt;=10,"N.M.",M636/L636))))</f>
        <v>7.6933227883394543E-3</v>
      </c>
      <c r="O636" s="147"/>
      <c r="P636" s="146"/>
      <c r="Q636" s="143">
        <v>411770.82</v>
      </c>
      <c r="R636" s="143">
        <v>374048.63</v>
      </c>
      <c r="S636" s="144">
        <f>+Q636-R636</f>
        <v>37722.19</v>
      </c>
      <c r="T636" s="145">
        <f>IF(R636&lt;0,IF(S636=0,0,IF(OR(R636=0,Q636=0),"N.M.",IF(ABS(S636/R636)&gt;=10,"N.M.",S636/(-R636)))),IF(S636=0,0,IF(OR(R636=0,Q636=0),"N.M.",IF(ABS(S636/R636)&gt;=10,"N.M.",S636/R636))))</f>
        <v>0.10084835760526646</v>
      </c>
      <c r="U636" s="146"/>
      <c r="V636" s="143">
        <v>1668701.3599999999</v>
      </c>
      <c r="W636" s="143">
        <v>1081944.46</v>
      </c>
      <c r="X636" s="144">
        <f>+V636-W636</f>
        <v>586756.89999999991</v>
      </c>
      <c r="Y636" s="145">
        <f>IF(W636&lt;0,IF(X636=0,0,IF(OR(W636=0,V636=0),"N.M.",IF(ABS(X636/W636)&gt;=10,"N.M.",X636/(-W636)))),IF(X636=0,0,IF(OR(W636=0,V636=0),"N.M.",IF(ABS(X636/W636)&gt;=10,"N.M.",X636/W636))))</f>
        <v>0.54231702429531359</v>
      </c>
      <c r="Z636" s="148"/>
      <c r="AA636" s="149">
        <v>118597.24</v>
      </c>
      <c r="AB636" s="150"/>
      <c r="AC636" s="117">
        <v>127972.22</v>
      </c>
      <c r="AD636" s="117">
        <v>127479.17</v>
      </c>
      <c r="AE636" s="117">
        <v>137013.88</v>
      </c>
      <c r="AF636" s="117">
        <v>127055.54000000001</v>
      </c>
      <c r="AG636" s="117">
        <v>137069.45000000001</v>
      </c>
      <c r="AH636" s="117">
        <v>133750</v>
      </c>
      <c r="AI636" s="117">
        <v>138208.34</v>
      </c>
      <c r="AJ636" s="117">
        <v>146083.33000000002</v>
      </c>
      <c r="AK636" s="117">
        <v>142500</v>
      </c>
      <c r="AL636" s="117">
        <v>147250</v>
      </c>
      <c r="AM636" s="117">
        <v>148000</v>
      </c>
      <c r="AN636" s="117">
        <v>154354.16</v>
      </c>
      <c r="AO636" s="150"/>
      <c r="AP636" s="117">
        <v>154354.16</v>
      </c>
      <c r="AQ636" s="117">
        <v>103062.5</v>
      </c>
      <c r="AR636" s="117">
        <v>0</v>
      </c>
      <c r="AS636" s="117">
        <v>0</v>
      </c>
      <c r="AT636" s="117">
        <v>0</v>
      </c>
      <c r="AU636" s="117">
        <v>0</v>
      </c>
      <c r="AV636" s="117">
        <v>0</v>
      </c>
      <c r="AW636" s="117">
        <v>0</v>
      </c>
      <c r="AX636" s="117">
        <v>0</v>
      </c>
      <c r="AY636" s="117">
        <v>0</v>
      </c>
      <c r="AZ636" s="117">
        <v>0</v>
      </c>
      <c r="BA636" s="117">
        <v>0</v>
      </c>
    </row>
    <row r="637" spans="1:53" s="138" customFormat="1" outlineLevel="2" x14ac:dyDescent="0.25">
      <c r="A637" s="138" t="s">
        <v>1680</v>
      </c>
      <c r="B637" s="139" t="s">
        <v>1681</v>
      </c>
      <c r="C637" s="140" t="s">
        <v>1682</v>
      </c>
      <c r="D637" s="141"/>
      <c r="E637" s="142"/>
      <c r="F637" s="143">
        <v>3539892.19</v>
      </c>
      <c r="G637" s="143">
        <v>3539892.19</v>
      </c>
      <c r="H637" s="144">
        <f>+F637-G637</f>
        <v>0</v>
      </c>
      <c r="I637" s="145">
        <f>IF(G637&lt;0,IF(H637=0,0,IF(OR(G637=0,F637=0),"N.M.",IF(ABS(H637/G637)&gt;=10,"N.M.",H637/(-G637)))),IF(H637=0,0,IF(OR(G637=0,F637=0),"N.M.",IF(ABS(H637/G637)&gt;=10,"N.M.",H637/G637))))</f>
        <v>0</v>
      </c>
      <c r="J637" s="146"/>
      <c r="K637" s="143">
        <v>7079784.3799999999</v>
      </c>
      <c r="L637" s="143">
        <v>7079784.3799999999</v>
      </c>
      <c r="M637" s="144">
        <f>+K637-L637</f>
        <v>0</v>
      </c>
      <c r="N637" s="145">
        <f>IF(L637&lt;0,IF(M637=0,0,IF(OR(L637=0,K637=0),"N.M.",IF(ABS(M637/L637)&gt;=10,"N.M.",M637/(-L637)))),IF(M637=0,0,IF(OR(L637=0,K637=0),"N.M.",IF(ABS(M637/L637)&gt;=10,"N.M.",M637/L637))))</f>
        <v>0</v>
      </c>
      <c r="O637" s="147"/>
      <c r="P637" s="146"/>
      <c r="Q637" s="143">
        <v>10619676.57</v>
      </c>
      <c r="R637" s="143">
        <v>10619676.57</v>
      </c>
      <c r="S637" s="144">
        <f>+Q637-R637</f>
        <v>0</v>
      </c>
      <c r="T637" s="145">
        <f>IF(R637&lt;0,IF(S637=0,0,IF(OR(R637=0,Q637=0),"N.M.",IF(ABS(S637/R637)&gt;=10,"N.M.",S637/(-R637)))),IF(S637=0,0,IF(OR(R637=0,Q637=0),"N.M.",IF(ABS(S637/R637)&gt;=10,"N.M.",S637/R637))))</f>
        <v>0</v>
      </c>
      <c r="U637" s="146"/>
      <c r="V637" s="143">
        <v>42478706.280000001</v>
      </c>
      <c r="W637" s="143">
        <v>42478706.280000001</v>
      </c>
      <c r="X637" s="144">
        <f>+V637-W637</f>
        <v>0</v>
      </c>
      <c r="Y637" s="145">
        <f>IF(W637&lt;0,IF(X637=0,0,IF(OR(W637=0,V637=0),"N.M.",IF(ABS(X637/W637)&gt;=10,"N.M.",X637/(-W637)))),IF(X637=0,0,IF(OR(W637=0,V637=0),"N.M.",IF(ABS(X637/W637)&gt;=10,"N.M.",X637/W637))))</f>
        <v>0</v>
      </c>
      <c r="Z637" s="148"/>
      <c r="AA637" s="149">
        <v>3539892.19</v>
      </c>
      <c r="AB637" s="150"/>
      <c r="AC637" s="117">
        <v>3539892.19</v>
      </c>
      <c r="AD637" s="117">
        <v>3539892.19</v>
      </c>
      <c r="AE637" s="117">
        <v>3539892.19</v>
      </c>
      <c r="AF637" s="117">
        <v>3539892.19</v>
      </c>
      <c r="AG637" s="117">
        <v>3539892.19</v>
      </c>
      <c r="AH637" s="117">
        <v>3539892.19</v>
      </c>
      <c r="AI637" s="117">
        <v>3539892.19</v>
      </c>
      <c r="AJ637" s="117">
        <v>3539892.19</v>
      </c>
      <c r="AK637" s="117">
        <v>3539892.19</v>
      </c>
      <c r="AL637" s="117">
        <v>3539892.19</v>
      </c>
      <c r="AM637" s="117">
        <v>3539892.19</v>
      </c>
      <c r="AN637" s="117">
        <v>3539892.19</v>
      </c>
      <c r="AO637" s="150"/>
      <c r="AP637" s="117">
        <v>3539892.19</v>
      </c>
      <c r="AQ637" s="117">
        <v>3539892.19</v>
      </c>
      <c r="AR637" s="117">
        <v>0</v>
      </c>
      <c r="AS637" s="117">
        <v>0</v>
      </c>
      <c r="AT637" s="117">
        <v>0</v>
      </c>
      <c r="AU637" s="117">
        <v>0</v>
      </c>
      <c r="AV637" s="117">
        <v>0</v>
      </c>
      <c r="AW637" s="117">
        <v>0</v>
      </c>
      <c r="AX637" s="117">
        <v>0</v>
      </c>
      <c r="AY637" s="117">
        <v>0</v>
      </c>
      <c r="AZ637" s="117">
        <v>0</v>
      </c>
      <c r="BA637" s="117">
        <v>0</v>
      </c>
    </row>
    <row r="638" spans="1:53" s="244" customFormat="1" x14ac:dyDescent="0.25">
      <c r="A638" s="211" t="s">
        <v>1683</v>
      </c>
      <c r="B638" s="212" t="s">
        <v>1684</v>
      </c>
      <c r="C638" s="239" t="s">
        <v>1685</v>
      </c>
      <c r="D638" s="246"/>
      <c r="E638" s="246"/>
      <c r="F638" s="241">
        <v>3676273.87</v>
      </c>
      <c r="G638" s="241">
        <v>3668401.41</v>
      </c>
      <c r="H638" s="236">
        <f>+F638-G638</f>
        <v>7872.4599999999627</v>
      </c>
      <c r="I638" s="237">
        <f>IF(G638&lt;0,IF(H638=0,0,IF(OR(G638=0,F638=0),"N.M.",IF(ABS(H638/G638)&gt;=10,"N.M.",H638/(-G638)))),IF(H638=0,0,IF(OR(G638=0,F638=0),"N.M.",IF(ABS(H638/G638)&gt;=10,"N.M.",H638/G638))))</f>
        <v>2.146019238390807E-3</v>
      </c>
      <c r="J638" s="242"/>
      <c r="K638" s="241">
        <v>7409948</v>
      </c>
      <c r="L638" s="241">
        <v>7337367.0499999998</v>
      </c>
      <c r="M638" s="236">
        <f>+K638-L638</f>
        <v>72580.950000000186</v>
      </c>
      <c r="N638" s="237">
        <f>IF(L638&lt;0,IF(M638=0,0,IF(OR(L638=0,K638=0),"N.M.",IF(ABS(M638/L638)&gt;=10,"N.M.",M638/(-L638)))),IF(M638=0,0,IF(OR(L638=0,K638=0),"N.M.",IF(ABS(M638/L638)&gt;=10,"N.M.",M638/L638))))</f>
        <v>9.8919611770001588E-3</v>
      </c>
      <c r="O638" s="282"/>
      <c r="P638" s="283"/>
      <c r="Q638" s="241">
        <v>11140423.859999999</v>
      </c>
      <c r="R638" s="241">
        <v>10996960.460000001</v>
      </c>
      <c r="S638" s="236">
        <f>+Q638-R638</f>
        <v>143463.39999999851</v>
      </c>
      <c r="T638" s="237">
        <f>IF(R638&lt;0,IF(S638=0,0,IF(OR(R638=0,Q638=0),"N.M.",IF(ABS(S638/R638)&gt;=10,"N.M.",S638/(-R638)))),IF(S638=0,0,IF(OR(R638=0,Q638=0),"N.M.",IF(ABS(S638/R638)&gt;=10,"N.M.",S638/R638))))</f>
        <v>1.3045732093138624E-2</v>
      </c>
      <c r="U638" s="283"/>
      <c r="V638" s="241">
        <v>44496511.170000002</v>
      </c>
      <c r="W638" s="241">
        <v>43587838.060000002</v>
      </c>
      <c r="X638" s="236">
        <f>+V638-W638</f>
        <v>908673.1099999994</v>
      </c>
      <c r="Y638" s="232">
        <f>IF(W638&lt;0,IF(X638=0,0,IF(OR(W638=0,V638=0),"N.M.",IF(ABS(X638/W638)&gt;=10,"N.M.",X638/(-W638)))),IF(X638=0,0,IF(OR(W638=0,V638=0),"N.M.",IF(ABS(X638/W638)&gt;=10,"N.M.",X638/W638))))</f>
        <v>2.0846941496597809E-2</v>
      </c>
      <c r="AA638" s="241">
        <v>3659593.41</v>
      </c>
      <c r="AB638" s="245"/>
      <c r="AC638" s="241">
        <v>3668965.64</v>
      </c>
      <c r="AD638" s="241">
        <v>3668401.41</v>
      </c>
      <c r="AE638" s="241">
        <v>3685448.42</v>
      </c>
      <c r="AF638" s="241">
        <v>3689733.25</v>
      </c>
      <c r="AG638" s="241">
        <v>3699906.9899999998</v>
      </c>
      <c r="AH638" s="241">
        <v>3696019.2399999998</v>
      </c>
      <c r="AI638" s="241">
        <v>3701436.6</v>
      </c>
      <c r="AJ638" s="241">
        <v>3713360.77</v>
      </c>
      <c r="AK638" s="241">
        <v>3720794.29</v>
      </c>
      <c r="AL638" s="241">
        <v>3731251.02</v>
      </c>
      <c r="AM638" s="241">
        <v>3718136.73</v>
      </c>
      <c r="AN638" s="241">
        <v>3730475.86</v>
      </c>
      <c r="AO638" s="245"/>
      <c r="AP638" s="241">
        <v>3733674.13</v>
      </c>
      <c r="AQ638" s="241">
        <v>3676273.87</v>
      </c>
      <c r="AR638" s="241">
        <v>0</v>
      </c>
      <c r="AS638" s="241">
        <v>0</v>
      </c>
      <c r="AT638" s="241">
        <v>0</v>
      </c>
      <c r="AU638" s="241">
        <v>0</v>
      </c>
      <c r="AV638" s="241">
        <v>0</v>
      </c>
      <c r="AW638" s="241">
        <v>0</v>
      </c>
      <c r="AX638" s="241">
        <v>0</v>
      </c>
      <c r="AY638" s="241">
        <v>0</v>
      </c>
      <c r="AZ638" s="241">
        <v>0</v>
      </c>
      <c r="BA638" s="241">
        <v>0</v>
      </c>
    </row>
    <row r="639" spans="1:53" s="244" customFormat="1" ht="0.75" customHeight="1" outlineLevel="2" x14ac:dyDescent="0.25">
      <c r="A639" s="211"/>
      <c r="B639" s="212"/>
      <c r="C639" s="239"/>
      <c r="D639" s="246"/>
      <c r="E639" s="246"/>
      <c r="F639" s="241"/>
      <c r="G639" s="241"/>
      <c r="H639" s="236"/>
      <c r="I639" s="237"/>
      <c r="J639" s="242"/>
      <c r="K639" s="241"/>
      <c r="L639" s="241"/>
      <c r="M639" s="236"/>
      <c r="N639" s="237"/>
      <c r="O639" s="282"/>
      <c r="P639" s="283"/>
      <c r="Q639" s="241"/>
      <c r="R639" s="241"/>
      <c r="S639" s="236"/>
      <c r="T639" s="237"/>
      <c r="U639" s="283"/>
      <c r="V639" s="241"/>
      <c r="W639" s="241"/>
      <c r="X639" s="236"/>
      <c r="Y639" s="232"/>
      <c r="AA639" s="241"/>
      <c r="AB639" s="245"/>
      <c r="AC639" s="241"/>
      <c r="AD639" s="241"/>
      <c r="AE639" s="241"/>
      <c r="AF639" s="241"/>
      <c r="AG639" s="241"/>
      <c r="AH639" s="241"/>
      <c r="AI639" s="241"/>
      <c r="AJ639" s="241"/>
      <c r="AK639" s="241"/>
      <c r="AL639" s="241"/>
      <c r="AM639" s="241"/>
      <c r="AN639" s="241"/>
      <c r="AO639" s="245"/>
      <c r="AP639" s="241"/>
      <c r="AQ639" s="241"/>
      <c r="AR639" s="241"/>
      <c r="AS639" s="241"/>
      <c r="AT639" s="241"/>
      <c r="AU639" s="241"/>
      <c r="AV639" s="241"/>
      <c r="AW639" s="241"/>
      <c r="AX639" s="241"/>
      <c r="AY639" s="241"/>
      <c r="AZ639" s="241"/>
      <c r="BA639" s="241"/>
    </row>
    <row r="640" spans="1:53" s="138" customFormat="1" outlineLevel="2" x14ac:dyDescent="0.25">
      <c r="A640" s="138" t="s">
        <v>1686</v>
      </c>
      <c r="B640" s="139" t="s">
        <v>1687</v>
      </c>
      <c r="C640" s="140" t="s">
        <v>1688</v>
      </c>
      <c r="D640" s="141"/>
      <c r="E640" s="142"/>
      <c r="F640" s="143">
        <v>2704.82</v>
      </c>
      <c r="G640" s="143">
        <v>2652.03</v>
      </c>
      <c r="H640" s="144">
        <f>+F640-G640</f>
        <v>52.789999999999964</v>
      </c>
      <c r="I640" s="145">
        <f>IF(G640&lt;0,IF(H640=0,0,IF(OR(G640=0,F640=0),"N.M.",IF(ABS(H640/G640)&gt;=10,"N.M.",H640/(-G640)))),IF(H640=0,0,IF(OR(G640=0,F640=0),"N.M.",IF(ABS(H640/G640)&gt;=10,"N.M.",H640/G640))))</f>
        <v>1.9905506347967391E-2</v>
      </c>
      <c r="J640" s="146"/>
      <c r="K640" s="143">
        <v>5409.64</v>
      </c>
      <c r="L640" s="143">
        <v>5304.06</v>
      </c>
      <c r="M640" s="144">
        <f>+K640-L640</f>
        <v>105.57999999999993</v>
      </c>
      <c r="N640" s="145">
        <f>IF(L640&lt;0,IF(M640=0,0,IF(OR(L640=0,K640=0),"N.M.",IF(ABS(M640/L640)&gt;=10,"N.M.",M640/(-L640)))),IF(M640=0,0,IF(OR(L640=0,K640=0),"N.M.",IF(ABS(M640/L640)&gt;=10,"N.M.",M640/L640))))</f>
        <v>1.9905506347967391E-2</v>
      </c>
      <c r="O640" s="147"/>
      <c r="P640" s="146"/>
      <c r="Q640" s="143">
        <v>8114.4600000000009</v>
      </c>
      <c r="R640" s="143">
        <v>7956.09</v>
      </c>
      <c r="S640" s="144">
        <f>+Q640-R640</f>
        <v>158.3700000000008</v>
      </c>
      <c r="T640" s="145">
        <f>IF(R640&lt;0,IF(S640=0,0,IF(OR(R640=0,Q640=0),"N.M.",IF(ABS(S640/R640)&gt;=10,"N.M.",S640/(-R640)))),IF(S640=0,0,IF(OR(R640=0,Q640=0),"N.M.",IF(ABS(S640/R640)&gt;=10,"N.M.",S640/R640))))</f>
        <v>1.9905506347967505E-2</v>
      </c>
      <c r="U640" s="146"/>
      <c r="V640" s="143">
        <v>32235.91</v>
      </c>
      <c r="W640" s="143">
        <v>31416.54</v>
      </c>
      <c r="X640" s="144">
        <f>+V640-W640</f>
        <v>819.36999999999898</v>
      </c>
      <c r="Y640" s="145">
        <f>IF(W640&lt;0,IF(X640=0,0,IF(OR(W640=0,V640=0),"N.M.",IF(ABS(X640/W640)&gt;=10,"N.M.",X640/(-W640)))),IF(X640=0,0,IF(OR(W640=0,V640=0),"N.M.",IF(ABS(X640/W640)&gt;=10,"N.M.",X640/W640))))</f>
        <v>2.608084785912131E-2</v>
      </c>
      <c r="Z640" s="148"/>
      <c r="AA640" s="149">
        <v>2652.03</v>
      </c>
      <c r="AB640" s="150"/>
      <c r="AC640" s="117">
        <v>2652.03</v>
      </c>
      <c r="AD640" s="117">
        <v>2652.03</v>
      </c>
      <c r="AE640" s="117">
        <v>2652.03</v>
      </c>
      <c r="AF640" s="117">
        <v>2652.03</v>
      </c>
      <c r="AG640" s="117">
        <v>2652.03</v>
      </c>
      <c r="AH640" s="117">
        <v>2673.04</v>
      </c>
      <c r="AI640" s="117">
        <v>2673.04</v>
      </c>
      <c r="AJ640" s="117">
        <v>2704.82</v>
      </c>
      <c r="AK640" s="117">
        <v>2704.82</v>
      </c>
      <c r="AL640" s="117">
        <v>2704.82</v>
      </c>
      <c r="AM640" s="117">
        <v>2704.82</v>
      </c>
      <c r="AN640" s="117">
        <v>2704.82</v>
      </c>
      <c r="AO640" s="150"/>
      <c r="AP640" s="117">
        <v>2704.82</v>
      </c>
      <c r="AQ640" s="117">
        <v>2704.82</v>
      </c>
      <c r="AR640" s="117">
        <v>0</v>
      </c>
      <c r="AS640" s="117">
        <v>0</v>
      </c>
      <c r="AT640" s="117">
        <v>0</v>
      </c>
      <c r="AU640" s="117">
        <v>0</v>
      </c>
      <c r="AV640" s="117">
        <v>0</v>
      </c>
      <c r="AW640" s="117">
        <v>0</v>
      </c>
      <c r="AX640" s="117">
        <v>0</v>
      </c>
      <c r="AY640" s="117">
        <v>0</v>
      </c>
      <c r="AZ640" s="117">
        <v>0</v>
      </c>
      <c r="BA640" s="117">
        <v>0</v>
      </c>
    </row>
    <row r="641" spans="1:53" s="138" customFormat="1" outlineLevel="2" x14ac:dyDescent="0.25">
      <c r="A641" s="138" t="s">
        <v>1689</v>
      </c>
      <c r="B641" s="139" t="s">
        <v>1690</v>
      </c>
      <c r="C641" s="140" t="s">
        <v>1691</v>
      </c>
      <c r="D641" s="141"/>
      <c r="E641" s="142"/>
      <c r="F641" s="143">
        <v>11092.73</v>
      </c>
      <c r="G641" s="143">
        <v>11073.99</v>
      </c>
      <c r="H641" s="144">
        <f>+F641-G641</f>
        <v>18.739999999999782</v>
      </c>
      <c r="I641" s="145">
        <f>IF(G641&lt;0,IF(H641=0,0,IF(OR(G641=0,F641=0),"N.M.",IF(ABS(H641/G641)&gt;=10,"N.M.",H641/(-G641)))),IF(H641=0,0,IF(OR(G641=0,F641=0),"N.M.",IF(ABS(H641/G641)&gt;=10,"N.M.",H641/G641))))</f>
        <v>1.6922536502200004E-3</v>
      </c>
      <c r="J641" s="146"/>
      <c r="K641" s="143">
        <v>22185.46</v>
      </c>
      <c r="L641" s="143">
        <v>22147.49</v>
      </c>
      <c r="M641" s="144">
        <f>+K641-L641</f>
        <v>37.969999999997526</v>
      </c>
      <c r="N641" s="145">
        <f>IF(L641&lt;0,IF(M641=0,0,IF(OR(L641=0,K641=0),"N.M.",IF(ABS(M641/L641)&gt;=10,"N.M.",M641/(-L641)))),IF(M641=0,0,IF(OR(L641=0,K641=0),"N.M.",IF(ABS(M641/L641)&gt;=10,"N.M.",M641/L641))))</f>
        <v>1.7144154935840371E-3</v>
      </c>
      <c r="O641" s="147"/>
      <c r="P641" s="146"/>
      <c r="Q641" s="143">
        <v>33278.19</v>
      </c>
      <c r="R641" s="143">
        <v>33220.990000000005</v>
      </c>
      <c r="S641" s="144">
        <f>+Q641-R641</f>
        <v>57.19999999999709</v>
      </c>
      <c r="T641" s="145">
        <f>IF(R641&lt;0,IF(S641=0,0,IF(OR(R641=0,Q641=0),"N.M.",IF(ABS(S641/R641)&gt;=10,"N.M.",S641/(-R641)))),IF(S641=0,0,IF(OR(R641=0,Q641=0),"N.M.",IF(ABS(S641/R641)&gt;=10,"N.M.",S641/R641))))</f>
        <v>1.7218029926259597E-3</v>
      </c>
      <c r="U641" s="146"/>
      <c r="V641" s="143">
        <v>133000.28</v>
      </c>
      <c r="W641" s="143">
        <v>132806.34</v>
      </c>
      <c r="X641" s="144">
        <f>+V641-W641</f>
        <v>193.94000000000233</v>
      </c>
      <c r="Y641" s="145">
        <f>IF(W641&lt;0,IF(X641=0,0,IF(OR(W641=0,V641=0),"N.M.",IF(ABS(X641/W641)&gt;=10,"N.M.",X641/(-W641)))),IF(X641=0,0,IF(OR(W641=0,V641=0),"N.M.",IF(ABS(X641/W641)&gt;=10,"N.M.",X641/W641))))</f>
        <v>1.4603218490924631E-3</v>
      </c>
      <c r="Z641" s="148"/>
      <c r="AA641" s="149">
        <v>11073.5</v>
      </c>
      <c r="AB641" s="150"/>
      <c r="AC641" s="117">
        <v>11073.5</v>
      </c>
      <c r="AD641" s="117">
        <v>11073.99</v>
      </c>
      <c r="AE641" s="117">
        <v>11073.99</v>
      </c>
      <c r="AF641" s="117">
        <v>11073.99</v>
      </c>
      <c r="AG641" s="117">
        <v>11073.98</v>
      </c>
      <c r="AH641" s="117">
        <v>11073.98</v>
      </c>
      <c r="AI641" s="117">
        <v>11073.98</v>
      </c>
      <c r="AJ641" s="117">
        <v>11073.98</v>
      </c>
      <c r="AK641" s="117">
        <v>11092.73</v>
      </c>
      <c r="AL641" s="117">
        <v>11092.73</v>
      </c>
      <c r="AM641" s="117">
        <v>11092.73</v>
      </c>
      <c r="AN641" s="117">
        <v>11092.73</v>
      </c>
      <c r="AO641" s="150"/>
      <c r="AP641" s="117">
        <v>11092.73</v>
      </c>
      <c r="AQ641" s="117">
        <v>11092.73</v>
      </c>
      <c r="AR641" s="117">
        <v>0</v>
      </c>
      <c r="AS641" s="117">
        <v>0</v>
      </c>
      <c r="AT641" s="117">
        <v>0</v>
      </c>
      <c r="AU641" s="117">
        <v>0</v>
      </c>
      <c r="AV641" s="117">
        <v>0</v>
      </c>
      <c r="AW641" s="117">
        <v>0</v>
      </c>
      <c r="AX641" s="117">
        <v>0</v>
      </c>
      <c r="AY641" s="117">
        <v>0</v>
      </c>
      <c r="AZ641" s="117">
        <v>0</v>
      </c>
      <c r="BA641" s="117">
        <v>0</v>
      </c>
    </row>
    <row r="642" spans="1:53" s="138" customFormat="1" outlineLevel="2" x14ac:dyDescent="0.25">
      <c r="A642" s="138" t="s">
        <v>1692</v>
      </c>
      <c r="B642" s="139" t="s">
        <v>1693</v>
      </c>
      <c r="C642" s="140" t="s">
        <v>1694</v>
      </c>
      <c r="D642" s="141"/>
      <c r="E642" s="142"/>
      <c r="F642" s="143">
        <v>46681.14</v>
      </c>
      <c r="G642" s="143">
        <v>46681.14</v>
      </c>
      <c r="H642" s="144">
        <f>+F642-G642</f>
        <v>0</v>
      </c>
      <c r="I642" s="145">
        <f>IF(G642&lt;0,IF(H642=0,0,IF(OR(G642=0,F642=0),"N.M.",IF(ABS(H642/G642)&gt;=10,"N.M.",H642/(-G642)))),IF(H642=0,0,IF(OR(G642=0,F642=0),"N.M.",IF(ABS(H642/G642)&gt;=10,"N.M.",H642/G642))))</f>
        <v>0</v>
      </c>
      <c r="J642" s="146"/>
      <c r="K642" s="143">
        <v>93362.26</v>
      </c>
      <c r="L642" s="143">
        <v>93362.27</v>
      </c>
      <c r="M642" s="144">
        <f>+K642-L642</f>
        <v>-1.0000000009313226E-2</v>
      </c>
      <c r="N642" s="145">
        <f>IF(L642&lt;0,IF(M642=0,0,IF(OR(L642=0,K642=0),"N.M.",IF(ABS(M642/L642)&gt;=10,"N.M.",M642/(-L642)))),IF(M642=0,0,IF(OR(L642=0,K642=0),"N.M.",IF(ABS(M642/L642)&gt;=10,"N.M.",M642/L642))))</f>
        <v>-1.0710964942597502E-7</v>
      </c>
      <c r="O642" s="147"/>
      <c r="P642" s="146"/>
      <c r="Q642" s="143">
        <v>140043.38</v>
      </c>
      <c r="R642" s="143">
        <v>140043.41</v>
      </c>
      <c r="S642" s="144">
        <f>+Q642-R642</f>
        <v>-2.9999999998835847E-2</v>
      </c>
      <c r="T642" s="145">
        <f>IF(R642&lt;0,IF(S642=0,0,IF(OR(R642=0,Q642=0),"N.M.",IF(ABS(S642/R642)&gt;=10,"N.M.",S642/(-R642)))),IF(S642=0,0,IF(OR(R642=0,Q642=0),"N.M.",IF(ABS(S642/R642)&gt;=10,"N.M.",S642/R642))))</f>
        <v>-2.1421929099581226E-7</v>
      </c>
      <c r="U642" s="146"/>
      <c r="V642" s="143">
        <v>560607.67999999993</v>
      </c>
      <c r="W642" s="143">
        <v>553894.61</v>
      </c>
      <c r="X642" s="144">
        <f>+V642-W642</f>
        <v>6713.0699999999488</v>
      </c>
      <c r="Y642" s="145">
        <f>IF(W642&lt;0,IF(X642=0,0,IF(OR(W642=0,V642=0),"N.M.",IF(ABS(X642/W642)&gt;=10,"N.M.",X642/(-W642)))),IF(X642=0,0,IF(OR(W642=0,V642=0),"N.M.",IF(ABS(X642/W642)&gt;=10,"N.M.",X642/W642))))</f>
        <v>1.2119760472122935E-2</v>
      </c>
      <c r="Z642" s="148"/>
      <c r="AA642" s="149">
        <v>46681.14</v>
      </c>
      <c r="AB642" s="150"/>
      <c r="AC642" s="117">
        <v>46681.13</v>
      </c>
      <c r="AD642" s="117">
        <v>46681.14</v>
      </c>
      <c r="AE642" s="117">
        <v>46681.120000000003</v>
      </c>
      <c r="AF642" s="117">
        <v>46681.14</v>
      </c>
      <c r="AG642" s="117">
        <v>46681.120000000003</v>
      </c>
      <c r="AH642" s="117">
        <v>46681.14</v>
      </c>
      <c r="AI642" s="117">
        <v>46681.120000000003</v>
      </c>
      <c r="AJ642" s="117">
        <v>46681.14</v>
      </c>
      <c r="AK642" s="117">
        <v>46681.120000000003</v>
      </c>
      <c r="AL642" s="117">
        <v>47115.28</v>
      </c>
      <c r="AM642" s="117">
        <v>46681.120000000003</v>
      </c>
      <c r="AN642" s="117">
        <v>46681.120000000003</v>
      </c>
      <c r="AO642" s="150"/>
      <c r="AP642" s="117">
        <v>46681.120000000003</v>
      </c>
      <c r="AQ642" s="117">
        <v>46681.14</v>
      </c>
      <c r="AR642" s="117">
        <v>0</v>
      </c>
      <c r="AS642" s="117">
        <v>0</v>
      </c>
      <c r="AT642" s="117">
        <v>0</v>
      </c>
      <c r="AU642" s="117">
        <v>0</v>
      </c>
      <c r="AV642" s="117">
        <v>0</v>
      </c>
      <c r="AW642" s="117">
        <v>0</v>
      </c>
      <c r="AX642" s="117">
        <v>0</v>
      </c>
      <c r="AY642" s="117">
        <v>0</v>
      </c>
      <c r="AZ642" s="117">
        <v>0</v>
      </c>
      <c r="BA642" s="117">
        <v>0</v>
      </c>
    </row>
    <row r="643" spans="1:53" s="244" customFormat="1" x14ac:dyDescent="0.25">
      <c r="A643" s="211" t="s">
        <v>1695</v>
      </c>
      <c r="B643" s="212" t="s">
        <v>1696</v>
      </c>
      <c r="C643" s="239" t="s">
        <v>1697</v>
      </c>
      <c r="D643" s="246"/>
      <c r="E643" s="246"/>
      <c r="F643" s="241">
        <v>60478.69</v>
      </c>
      <c r="G643" s="241">
        <v>60407.16</v>
      </c>
      <c r="H643" s="236">
        <f>+F643-G643</f>
        <v>71.529999999998836</v>
      </c>
      <c r="I643" s="237">
        <f>IF(G643&lt;0,IF(H643=0,0,IF(OR(G643=0,F643=0),"N.M.",IF(ABS(H643/G643)&gt;=10,"N.M.",H643/(-G643)))),IF(H643=0,0,IF(OR(G643=0,F643=0),"N.M.",IF(ABS(H643/G643)&gt;=10,"N.M.",H643/G643))))</f>
        <v>1.1841311526646647E-3</v>
      </c>
      <c r="J643" s="242"/>
      <c r="K643" s="241">
        <v>120957.35999999999</v>
      </c>
      <c r="L643" s="241">
        <v>120813.82</v>
      </c>
      <c r="M643" s="236">
        <f>+K643-L643</f>
        <v>143.53999999997905</v>
      </c>
      <c r="N643" s="237">
        <f>IF(L643&lt;0,IF(M643=0,0,IF(OR(L643=0,K643=0),"N.M.",IF(ABS(M643/L643)&gt;=10,"N.M.",M643/(-L643)))),IF(M643=0,0,IF(OR(L643=0,K643=0),"N.M.",IF(ABS(M643/L643)&gt;=10,"N.M.",M643/L643))))</f>
        <v>1.1881091087094094E-3</v>
      </c>
      <c r="O643" s="284"/>
      <c r="P643" s="285"/>
      <c r="Q643" s="241">
        <v>181436.02999999997</v>
      </c>
      <c r="R643" s="241">
        <v>181220.49</v>
      </c>
      <c r="S643" s="236">
        <f>+Q643-R643</f>
        <v>215.53999999997905</v>
      </c>
      <c r="T643" s="237">
        <f>IF(R643&lt;0,IF(S643=0,0,IF(OR(R643=0,Q643=0),"N.M.",IF(ABS(S643/R643)&gt;=10,"N.M.",S643/(-R643)))),IF(S643=0,0,IF(OR(R643=0,Q643=0),"N.M.",IF(ABS(S643/R643)&gt;=10,"N.M.",S643/R643))))</f>
        <v>1.1893798543419624E-3</v>
      </c>
      <c r="U643" s="285"/>
      <c r="V643" s="241">
        <v>725843.87</v>
      </c>
      <c r="W643" s="241">
        <v>718117.49000000011</v>
      </c>
      <c r="X643" s="236">
        <f>+V643-W643</f>
        <v>7726.3799999998882</v>
      </c>
      <c r="Y643" s="232">
        <f>IF(W643&lt;0,IF(X643=0,0,IF(OR(W643=0,V643=0),"N.M.",IF(ABS(X643/W643)&gt;=10,"N.M.",X643/(-W643)))),IF(X643=0,0,IF(OR(W643=0,V643=0),"N.M.",IF(ABS(X643/W643)&gt;=10,"N.M.",X643/W643))))</f>
        <v>1.0759214345273622E-2</v>
      </c>
      <c r="AA643" s="241">
        <v>60406.67</v>
      </c>
      <c r="AB643" s="245"/>
      <c r="AC643" s="241">
        <v>60406.659999999996</v>
      </c>
      <c r="AD643" s="241">
        <v>60407.16</v>
      </c>
      <c r="AE643" s="241">
        <v>60407.14</v>
      </c>
      <c r="AF643" s="241">
        <v>60407.16</v>
      </c>
      <c r="AG643" s="241">
        <v>60407.130000000005</v>
      </c>
      <c r="AH643" s="241">
        <v>60428.160000000003</v>
      </c>
      <c r="AI643" s="241">
        <v>60428.14</v>
      </c>
      <c r="AJ643" s="241">
        <v>60459.94</v>
      </c>
      <c r="AK643" s="241">
        <v>60478.67</v>
      </c>
      <c r="AL643" s="241">
        <v>60912.83</v>
      </c>
      <c r="AM643" s="241">
        <v>60478.67</v>
      </c>
      <c r="AN643" s="241">
        <v>60478.67</v>
      </c>
      <c r="AO643" s="245"/>
      <c r="AP643" s="241">
        <v>60478.67</v>
      </c>
      <c r="AQ643" s="241">
        <v>60478.69</v>
      </c>
      <c r="AR643" s="241">
        <v>0</v>
      </c>
      <c r="AS643" s="241">
        <v>0</v>
      </c>
      <c r="AT643" s="241">
        <v>0</v>
      </c>
      <c r="AU643" s="241">
        <v>0</v>
      </c>
      <c r="AV643" s="241">
        <v>0</v>
      </c>
      <c r="AW643" s="241">
        <v>0</v>
      </c>
      <c r="AX643" s="241">
        <v>0</v>
      </c>
      <c r="AY643" s="241">
        <v>0</v>
      </c>
      <c r="AZ643" s="241">
        <v>0</v>
      </c>
      <c r="BA643" s="241">
        <v>0</v>
      </c>
    </row>
    <row r="644" spans="1:53" s="244" customFormat="1" ht="0.75" customHeight="1" outlineLevel="2" x14ac:dyDescent="0.25">
      <c r="A644" s="211"/>
      <c r="B644" s="212"/>
      <c r="C644" s="239"/>
      <c r="D644" s="246"/>
      <c r="E644" s="246"/>
      <c r="F644" s="241"/>
      <c r="G644" s="241"/>
      <c r="H644" s="236"/>
      <c r="I644" s="237"/>
      <c r="J644" s="242"/>
      <c r="K644" s="241"/>
      <c r="L644" s="241"/>
      <c r="M644" s="236"/>
      <c r="N644" s="237"/>
      <c r="O644" s="284"/>
      <c r="P644" s="285"/>
      <c r="Q644" s="241"/>
      <c r="R644" s="241"/>
      <c r="S644" s="236"/>
      <c r="T644" s="237"/>
      <c r="U644" s="285"/>
      <c r="V644" s="241"/>
      <c r="W644" s="241"/>
      <c r="X644" s="236"/>
      <c r="Y644" s="232"/>
      <c r="AA644" s="241"/>
      <c r="AB644" s="245"/>
      <c r="AC644" s="241"/>
      <c r="AD644" s="241"/>
      <c r="AE644" s="241"/>
      <c r="AF644" s="241"/>
      <c r="AG644" s="241"/>
      <c r="AH644" s="241"/>
      <c r="AI644" s="241"/>
      <c r="AJ644" s="241"/>
      <c r="AK644" s="241"/>
      <c r="AL644" s="241"/>
      <c r="AM644" s="241"/>
      <c r="AN644" s="241"/>
      <c r="AO644" s="245"/>
      <c r="AP644" s="241"/>
      <c r="AQ644" s="241"/>
      <c r="AR644" s="241"/>
      <c r="AS644" s="241"/>
      <c r="AT644" s="241"/>
      <c r="AU644" s="241"/>
      <c r="AV644" s="241"/>
      <c r="AW644" s="241"/>
      <c r="AX644" s="241"/>
      <c r="AY644" s="241"/>
      <c r="AZ644" s="241"/>
      <c r="BA644" s="241"/>
    </row>
    <row r="645" spans="1:53" s="138" customFormat="1" outlineLevel="2" x14ac:dyDescent="0.25">
      <c r="A645" s="138" t="s">
        <v>1698</v>
      </c>
      <c r="B645" s="139" t="s">
        <v>1699</v>
      </c>
      <c r="C645" s="140" t="s">
        <v>1700</v>
      </c>
      <c r="D645" s="141"/>
      <c r="E645" s="142"/>
      <c r="F645" s="143">
        <v>2804.23</v>
      </c>
      <c r="G645" s="143">
        <v>2804.23</v>
      </c>
      <c r="H645" s="144">
        <f>+F645-G645</f>
        <v>0</v>
      </c>
      <c r="I645" s="145">
        <f>IF(G645&lt;0,IF(H645=0,0,IF(OR(G645=0,F645=0),"N.M.",IF(ABS(H645/G645)&gt;=10,"N.M.",H645/(-G645)))),IF(H645=0,0,IF(OR(G645=0,F645=0),"N.M.",IF(ABS(H645/G645)&gt;=10,"N.M.",H645/G645))))</f>
        <v>0</v>
      </c>
      <c r="J645" s="146"/>
      <c r="K645" s="143">
        <v>5608.46</v>
      </c>
      <c r="L645" s="143">
        <v>5608.46</v>
      </c>
      <c r="M645" s="144">
        <f>+K645-L645</f>
        <v>0</v>
      </c>
      <c r="N645" s="145">
        <f>IF(L645&lt;0,IF(M645=0,0,IF(OR(L645=0,K645=0),"N.M.",IF(ABS(M645/L645)&gt;=10,"N.M.",M645/(-L645)))),IF(M645=0,0,IF(OR(L645=0,K645=0),"N.M.",IF(ABS(M645/L645)&gt;=10,"N.M.",M645/L645))))</f>
        <v>0</v>
      </c>
      <c r="O645" s="147"/>
      <c r="P645" s="146"/>
      <c r="Q645" s="143">
        <v>8412.69</v>
      </c>
      <c r="R645" s="143">
        <v>8412.69</v>
      </c>
      <c r="S645" s="144">
        <f>+Q645-R645</f>
        <v>0</v>
      </c>
      <c r="T645" s="145">
        <f>IF(R645&lt;0,IF(S645=0,0,IF(OR(R645=0,Q645=0),"N.M.",IF(ABS(S645/R645)&gt;=10,"N.M.",S645/(-R645)))),IF(S645=0,0,IF(OR(R645=0,Q645=0),"N.M.",IF(ABS(S645/R645)&gt;=10,"N.M.",S645/R645))))</f>
        <v>0</v>
      </c>
      <c r="U645" s="146"/>
      <c r="V645" s="143">
        <v>33650.76</v>
      </c>
      <c r="W645" s="143">
        <v>33650.550000000003</v>
      </c>
      <c r="X645" s="144">
        <f>+V645-W645</f>
        <v>0.20999999999912689</v>
      </c>
      <c r="Y645" s="145">
        <f>IF(W645&lt;0,IF(X645=0,0,IF(OR(W645=0,V645=0),"N.M.",IF(ABS(X645/W645)&gt;=10,"N.M.",X645/(-W645)))),IF(X645=0,0,IF(OR(W645=0,V645=0),"N.M.",IF(ABS(X645/W645)&gt;=10,"N.M.",X645/W645))))</f>
        <v>6.24061122326758E-6</v>
      </c>
      <c r="Z645" s="148"/>
      <c r="AA645" s="149">
        <v>2804.23</v>
      </c>
      <c r="AB645" s="150"/>
      <c r="AC645" s="117">
        <v>2804.23</v>
      </c>
      <c r="AD645" s="117">
        <v>2804.23</v>
      </c>
      <c r="AE645" s="117">
        <v>2804.23</v>
      </c>
      <c r="AF645" s="117">
        <v>2804.23</v>
      </c>
      <c r="AG645" s="117">
        <v>2804.23</v>
      </c>
      <c r="AH645" s="117">
        <v>2804.23</v>
      </c>
      <c r="AI645" s="117">
        <v>2804.23</v>
      </c>
      <c r="AJ645" s="117">
        <v>2804.23</v>
      </c>
      <c r="AK645" s="117">
        <v>2804.23</v>
      </c>
      <c r="AL645" s="117">
        <v>2804.23</v>
      </c>
      <c r="AM645" s="117">
        <v>2804.23</v>
      </c>
      <c r="AN645" s="117">
        <v>2804.23</v>
      </c>
      <c r="AO645" s="150"/>
      <c r="AP645" s="117">
        <v>2804.23</v>
      </c>
      <c r="AQ645" s="117">
        <v>2804.23</v>
      </c>
      <c r="AR645" s="117">
        <v>0</v>
      </c>
      <c r="AS645" s="117">
        <v>0</v>
      </c>
      <c r="AT645" s="117">
        <v>0</v>
      </c>
      <c r="AU645" s="117">
        <v>0</v>
      </c>
      <c r="AV645" s="117">
        <v>0</v>
      </c>
      <c r="AW645" s="117">
        <v>0</v>
      </c>
      <c r="AX645" s="117">
        <v>0</v>
      </c>
      <c r="AY645" s="117">
        <v>0</v>
      </c>
      <c r="AZ645" s="117">
        <v>0</v>
      </c>
      <c r="BA645" s="117">
        <v>0</v>
      </c>
    </row>
    <row r="646" spans="1:53" s="244" customFormat="1" x14ac:dyDescent="0.25">
      <c r="A646" s="211" t="s">
        <v>1701</v>
      </c>
      <c r="B646" s="212" t="s">
        <v>1702</v>
      </c>
      <c r="C646" s="239" t="s">
        <v>1703</v>
      </c>
      <c r="D646" s="246"/>
      <c r="E646" s="246"/>
      <c r="F646" s="241">
        <v>2804.23</v>
      </c>
      <c r="G646" s="241">
        <v>2804.23</v>
      </c>
      <c r="H646" s="236">
        <f>+F646-G646</f>
        <v>0</v>
      </c>
      <c r="I646" s="237">
        <f>IF(G646&lt;0,IF(H646=0,0,IF(OR(G646=0,F646=0),"N.M.",IF(ABS(H646/G646)&gt;=10,"N.M.",H646/(-G646)))),IF(H646=0,0,IF(OR(G646=0,F646=0),"N.M.",IF(ABS(H646/G646)&gt;=10,"N.M.",H646/G646))))</f>
        <v>0</v>
      </c>
      <c r="J646" s="242"/>
      <c r="K646" s="241">
        <v>5608.46</v>
      </c>
      <c r="L646" s="241">
        <v>5608.46</v>
      </c>
      <c r="M646" s="236">
        <f>+K646-L646</f>
        <v>0</v>
      </c>
      <c r="N646" s="237">
        <f>IF(L646&lt;0,IF(M646=0,0,IF(OR(L646=0,K646=0),"N.M.",IF(ABS(M646/L646)&gt;=10,"N.M.",M646/(-L646)))),IF(M646=0,0,IF(OR(L646=0,K646=0),"N.M.",IF(ABS(M646/L646)&gt;=10,"N.M.",M646/L646))))</f>
        <v>0</v>
      </c>
      <c r="O646" s="148"/>
      <c r="P646" s="243"/>
      <c r="Q646" s="241">
        <v>8412.69</v>
      </c>
      <c r="R646" s="241">
        <v>8412.69</v>
      </c>
      <c r="S646" s="236">
        <f>+Q646-R646</f>
        <v>0</v>
      </c>
      <c r="T646" s="237">
        <f>IF(R646&lt;0,IF(S646=0,0,IF(OR(R646=0,Q646=0),"N.M.",IF(ABS(S646/R646)&gt;=10,"N.M.",S646/(-R646)))),IF(S646=0,0,IF(OR(R646=0,Q646=0),"N.M.",IF(ABS(S646/R646)&gt;=10,"N.M.",S646/R646))))</f>
        <v>0</v>
      </c>
      <c r="U646" s="243"/>
      <c r="V646" s="241">
        <v>33650.76</v>
      </c>
      <c r="W646" s="241">
        <v>33650.550000000003</v>
      </c>
      <c r="X646" s="236">
        <f>+V646-W646</f>
        <v>0.20999999999912689</v>
      </c>
      <c r="Y646" s="232">
        <f>IF(W646&lt;0,IF(X646=0,0,IF(OR(W646=0,V646=0),"N.M.",IF(ABS(X646/W646)&gt;=10,"N.M.",X646/(-W646)))),IF(X646=0,0,IF(OR(W646=0,V646=0),"N.M.",IF(ABS(X646/W646)&gt;=10,"N.M.",X646/W646))))</f>
        <v>6.24061122326758E-6</v>
      </c>
      <c r="AA646" s="241">
        <v>2804.23</v>
      </c>
      <c r="AB646" s="245"/>
      <c r="AC646" s="241">
        <v>2804.23</v>
      </c>
      <c r="AD646" s="241">
        <v>2804.23</v>
      </c>
      <c r="AE646" s="241">
        <v>2804.23</v>
      </c>
      <c r="AF646" s="241">
        <v>2804.23</v>
      </c>
      <c r="AG646" s="241">
        <v>2804.23</v>
      </c>
      <c r="AH646" s="241">
        <v>2804.23</v>
      </c>
      <c r="AI646" s="241">
        <v>2804.23</v>
      </c>
      <c r="AJ646" s="241">
        <v>2804.23</v>
      </c>
      <c r="AK646" s="241">
        <v>2804.23</v>
      </c>
      <c r="AL646" s="241">
        <v>2804.23</v>
      </c>
      <c r="AM646" s="241">
        <v>2804.23</v>
      </c>
      <c r="AN646" s="241">
        <v>2804.23</v>
      </c>
      <c r="AO646" s="245"/>
      <c r="AP646" s="241">
        <v>2804.23</v>
      </c>
      <c r="AQ646" s="241">
        <v>2804.23</v>
      </c>
      <c r="AR646" s="241">
        <v>0</v>
      </c>
      <c r="AS646" s="241">
        <v>0</v>
      </c>
      <c r="AT646" s="241">
        <v>0</v>
      </c>
      <c r="AU646" s="241">
        <v>0</v>
      </c>
      <c r="AV646" s="241">
        <v>0</v>
      </c>
      <c r="AW646" s="241">
        <v>0</v>
      </c>
      <c r="AX646" s="241">
        <v>0</v>
      </c>
      <c r="AY646" s="241">
        <v>0</v>
      </c>
      <c r="AZ646" s="241">
        <v>0</v>
      </c>
      <c r="BA646" s="241">
        <v>0</v>
      </c>
    </row>
    <row r="647" spans="1:53" s="244" customFormat="1" ht="0.75" customHeight="1" outlineLevel="2" x14ac:dyDescent="0.25">
      <c r="A647" s="211"/>
      <c r="B647" s="212"/>
      <c r="C647" s="239"/>
      <c r="D647" s="246"/>
      <c r="E647" s="246"/>
      <c r="F647" s="241"/>
      <c r="G647" s="241"/>
      <c r="H647" s="236"/>
      <c r="I647" s="237"/>
      <c r="J647" s="242"/>
      <c r="K647" s="241"/>
      <c r="L647" s="241"/>
      <c r="M647" s="236"/>
      <c r="N647" s="237"/>
      <c r="O647" s="148"/>
      <c r="P647" s="243"/>
      <c r="Q647" s="241"/>
      <c r="R647" s="241"/>
      <c r="S647" s="236"/>
      <c r="T647" s="237"/>
      <c r="U647" s="243"/>
      <c r="V647" s="241"/>
      <c r="W647" s="241"/>
      <c r="X647" s="236"/>
      <c r="Y647" s="232"/>
      <c r="AA647" s="241"/>
      <c r="AB647" s="245"/>
      <c r="AC647" s="241"/>
      <c r="AD647" s="241"/>
      <c r="AE647" s="241"/>
      <c r="AF647" s="241"/>
      <c r="AG647" s="241"/>
      <c r="AH647" s="241"/>
      <c r="AI647" s="241"/>
      <c r="AJ647" s="241"/>
      <c r="AK647" s="241"/>
      <c r="AL647" s="241"/>
      <c r="AM647" s="241"/>
      <c r="AN647" s="241"/>
      <c r="AO647" s="245"/>
      <c r="AP647" s="241"/>
      <c r="AQ647" s="241"/>
      <c r="AR647" s="241"/>
      <c r="AS647" s="241"/>
      <c r="AT647" s="241"/>
      <c r="AU647" s="241"/>
      <c r="AV647" s="241"/>
      <c r="AW647" s="241"/>
      <c r="AX647" s="241"/>
      <c r="AY647" s="241"/>
      <c r="AZ647" s="241"/>
      <c r="BA647" s="241"/>
    </row>
    <row r="648" spans="1:53" s="244" customFormat="1" x14ac:dyDescent="0.25">
      <c r="A648" s="211" t="s">
        <v>1704</v>
      </c>
      <c r="B648" s="212" t="s">
        <v>1705</v>
      </c>
      <c r="C648" s="239" t="s">
        <v>1706</v>
      </c>
      <c r="D648" s="246"/>
      <c r="E648" s="246"/>
      <c r="F648" s="241">
        <v>0</v>
      </c>
      <c r="G648" s="241">
        <v>0</v>
      </c>
      <c r="H648" s="236">
        <f>+F648-G648</f>
        <v>0</v>
      </c>
      <c r="I648" s="237">
        <f>IF(G648&lt;0,IF(H648=0,0,IF(OR(G648=0,F648=0),"N.M.",IF(ABS(H648/G648)&gt;=10,"N.M.",H648/(-G648)))),IF(H648=0,0,IF(OR(G648=0,F648=0),"N.M.",IF(ABS(H648/G648)&gt;=10,"N.M.",H648/G648))))</f>
        <v>0</v>
      </c>
      <c r="J648" s="242"/>
      <c r="K648" s="241">
        <v>0</v>
      </c>
      <c r="L648" s="241">
        <v>0</v>
      </c>
      <c r="M648" s="236">
        <f>+K648-L648</f>
        <v>0</v>
      </c>
      <c r="N648" s="237">
        <f>IF(L648&lt;0,IF(M648=0,0,IF(OR(L648=0,K648=0),"N.M.",IF(ABS(M648/L648)&gt;=10,"N.M.",M648/(-L648)))),IF(M648=0,0,IF(OR(L648=0,K648=0),"N.M.",IF(ABS(M648/L648)&gt;=10,"N.M.",M648/L648))))</f>
        <v>0</v>
      </c>
      <c r="O648" s="148"/>
      <c r="P648" s="243"/>
      <c r="Q648" s="241">
        <v>0</v>
      </c>
      <c r="R648" s="241">
        <v>0</v>
      </c>
      <c r="S648" s="236">
        <f>+Q648-R648</f>
        <v>0</v>
      </c>
      <c r="T648" s="237">
        <f>IF(R648&lt;0,IF(S648=0,0,IF(OR(R648=0,Q648=0),"N.M.",IF(ABS(S648/R648)&gt;=10,"N.M.",S648/(-R648)))),IF(S648=0,0,IF(OR(R648=0,Q648=0),"N.M.",IF(ABS(S648/R648)&gt;=10,"N.M.",S648/R648))))</f>
        <v>0</v>
      </c>
      <c r="U648" s="243"/>
      <c r="V648" s="241">
        <v>0</v>
      </c>
      <c r="W648" s="241">
        <v>0</v>
      </c>
      <c r="X648" s="236">
        <f>+V648-W648</f>
        <v>0</v>
      </c>
      <c r="Y648" s="232">
        <f>IF(W648&lt;0,IF(X648=0,0,IF(OR(W648=0,V648=0),"N.M.",IF(ABS(X648/W648)&gt;=10,"N.M.",X648/(-W648)))),IF(X648=0,0,IF(OR(W648=0,V648=0),"N.M.",IF(ABS(X648/W648)&gt;=10,"N.M.",X648/W648))))</f>
        <v>0</v>
      </c>
      <c r="AA648" s="241">
        <v>0</v>
      </c>
      <c r="AB648" s="245"/>
      <c r="AC648" s="241">
        <v>0</v>
      </c>
      <c r="AD648" s="241">
        <v>0</v>
      </c>
      <c r="AE648" s="241">
        <v>0</v>
      </c>
      <c r="AF648" s="241">
        <v>0</v>
      </c>
      <c r="AG648" s="241">
        <v>0</v>
      </c>
      <c r="AH648" s="241">
        <v>0</v>
      </c>
      <c r="AI648" s="241">
        <v>0</v>
      </c>
      <c r="AJ648" s="241">
        <v>0</v>
      </c>
      <c r="AK648" s="241">
        <v>0</v>
      </c>
      <c r="AL648" s="241">
        <v>0</v>
      </c>
      <c r="AM648" s="241">
        <v>0</v>
      </c>
      <c r="AN648" s="241">
        <v>0</v>
      </c>
      <c r="AO648" s="245"/>
      <c r="AP648" s="241">
        <v>0</v>
      </c>
      <c r="AQ648" s="241">
        <v>0</v>
      </c>
      <c r="AR648" s="241">
        <v>0</v>
      </c>
      <c r="AS648" s="241">
        <v>0</v>
      </c>
      <c r="AT648" s="241">
        <v>0</v>
      </c>
      <c r="AU648" s="241">
        <v>0</v>
      </c>
      <c r="AV648" s="241">
        <v>0</v>
      </c>
      <c r="AW648" s="241">
        <v>0</v>
      </c>
      <c r="AX648" s="241">
        <v>0</v>
      </c>
      <c r="AY648" s="241">
        <v>0</v>
      </c>
      <c r="AZ648" s="241">
        <v>0</v>
      </c>
      <c r="BA648" s="241">
        <v>0</v>
      </c>
    </row>
    <row r="649" spans="1:53" s="244" customFormat="1" ht="0.75" customHeight="1" outlineLevel="2" x14ac:dyDescent="0.25">
      <c r="A649" s="211"/>
      <c r="B649" s="212"/>
      <c r="C649" s="239"/>
      <c r="D649" s="246"/>
      <c r="E649" s="246"/>
      <c r="F649" s="241"/>
      <c r="G649" s="241"/>
      <c r="H649" s="236"/>
      <c r="I649" s="237"/>
      <c r="J649" s="242"/>
      <c r="K649" s="241"/>
      <c r="L649" s="241"/>
      <c r="M649" s="236"/>
      <c r="N649" s="237"/>
      <c r="O649" s="148"/>
      <c r="P649" s="243"/>
      <c r="Q649" s="241"/>
      <c r="R649" s="241"/>
      <c r="S649" s="236"/>
      <c r="T649" s="237"/>
      <c r="U649" s="243"/>
      <c r="V649" s="241"/>
      <c r="W649" s="241"/>
      <c r="X649" s="236"/>
      <c r="Y649" s="232"/>
      <c r="AA649" s="241"/>
      <c r="AB649" s="245"/>
      <c r="AC649" s="241"/>
      <c r="AD649" s="241"/>
      <c r="AE649" s="241"/>
      <c r="AF649" s="241"/>
      <c r="AG649" s="241"/>
      <c r="AH649" s="241"/>
      <c r="AI649" s="241"/>
      <c r="AJ649" s="241"/>
      <c r="AK649" s="241"/>
      <c r="AL649" s="241"/>
      <c r="AM649" s="241"/>
      <c r="AN649" s="241"/>
      <c r="AO649" s="245"/>
      <c r="AP649" s="241"/>
      <c r="AQ649" s="241"/>
      <c r="AR649" s="241"/>
      <c r="AS649" s="241"/>
      <c r="AT649" s="241"/>
      <c r="AU649" s="241"/>
      <c r="AV649" s="241"/>
      <c r="AW649" s="241"/>
      <c r="AX649" s="241"/>
      <c r="AY649" s="241"/>
      <c r="AZ649" s="241"/>
      <c r="BA649" s="241"/>
    </row>
    <row r="650" spans="1:53" s="244" customFormat="1" x14ac:dyDescent="0.25">
      <c r="A650" s="211" t="s">
        <v>1707</v>
      </c>
      <c r="B650" s="212" t="s">
        <v>1708</v>
      </c>
      <c r="C650" s="239" t="s">
        <v>1709</v>
      </c>
      <c r="D650" s="246"/>
      <c r="E650" s="246"/>
      <c r="F650" s="241">
        <v>0</v>
      </c>
      <c r="G650" s="241">
        <v>0</v>
      </c>
      <c r="H650" s="236">
        <f>+F650-G650</f>
        <v>0</v>
      </c>
      <c r="I650" s="237">
        <f>IF(G650&lt;0,IF(H650=0,0,IF(OR(G650=0,F650=0),"N.M.",IF(ABS(H650/G650)&gt;=10,"N.M.",H650/(-G650)))),IF(H650=0,0,IF(OR(G650=0,F650=0),"N.M.",IF(ABS(H650/G650)&gt;=10,"N.M.",H650/G650))))</f>
        <v>0</v>
      </c>
      <c r="J650" s="242"/>
      <c r="K650" s="241">
        <v>0</v>
      </c>
      <c r="L650" s="241">
        <v>0</v>
      </c>
      <c r="M650" s="236">
        <f>+K650-L650</f>
        <v>0</v>
      </c>
      <c r="N650" s="237">
        <f>IF(L650&lt;0,IF(M650=0,0,IF(OR(L650=0,K650=0),"N.M.",IF(ABS(M650/L650)&gt;=10,"N.M.",M650/(-L650)))),IF(M650=0,0,IF(OR(L650=0,K650=0),"N.M.",IF(ABS(M650/L650)&gt;=10,"N.M.",M650/L650))))</f>
        <v>0</v>
      </c>
      <c r="O650" s="148"/>
      <c r="P650" s="243"/>
      <c r="Q650" s="241">
        <v>0</v>
      </c>
      <c r="R650" s="241">
        <v>0</v>
      </c>
      <c r="S650" s="236">
        <f>+Q650-R650</f>
        <v>0</v>
      </c>
      <c r="T650" s="237">
        <f>IF(R650&lt;0,IF(S650=0,0,IF(OR(R650=0,Q650=0),"N.M.",IF(ABS(S650/R650)&gt;=10,"N.M.",S650/(-R650)))),IF(S650=0,0,IF(OR(R650=0,Q650=0),"N.M.",IF(ABS(S650/R650)&gt;=10,"N.M.",S650/R650))))</f>
        <v>0</v>
      </c>
      <c r="U650" s="243"/>
      <c r="V650" s="241">
        <v>0</v>
      </c>
      <c r="W650" s="241">
        <v>0</v>
      </c>
      <c r="X650" s="236">
        <f>+V650-W650</f>
        <v>0</v>
      </c>
      <c r="Y650" s="232">
        <f>IF(W650&lt;0,IF(X650=0,0,IF(OR(W650=0,V650=0),"N.M.",IF(ABS(X650/W650)&gt;=10,"N.M.",X650/(-W650)))),IF(X650=0,0,IF(OR(W650=0,V650=0),"N.M.",IF(ABS(X650/W650)&gt;=10,"N.M.",X650/W650))))</f>
        <v>0</v>
      </c>
      <c r="AA650" s="241">
        <v>0</v>
      </c>
      <c r="AB650" s="245"/>
      <c r="AC650" s="241">
        <v>0</v>
      </c>
      <c r="AD650" s="241">
        <v>0</v>
      </c>
      <c r="AE650" s="241">
        <v>0</v>
      </c>
      <c r="AF650" s="241">
        <v>0</v>
      </c>
      <c r="AG650" s="241">
        <v>0</v>
      </c>
      <c r="AH650" s="241">
        <v>0</v>
      </c>
      <c r="AI650" s="241">
        <v>0</v>
      </c>
      <c r="AJ650" s="241">
        <v>0</v>
      </c>
      <c r="AK650" s="241">
        <v>0</v>
      </c>
      <c r="AL650" s="241">
        <v>0</v>
      </c>
      <c r="AM650" s="241">
        <v>0</v>
      </c>
      <c r="AN650" s="241">
        <v>0</v>
      </c>
      <c r="AO650" s="245"/>
      <c r="AP650" s="241">
        <v>0</v>
      </c>
      <c r="AQ650" s="241">
        <v>0</v>
      </c>
      <c r="AR650" s="241">
        <v>0</v>
      </c>
      <c r="AS650" s="241">
        <v>0</v>
      </c>
      <c r="AT650" s="241">
        <v>0</v>
      </c>
      <c r="AU650" s="241">
        <v>0</v>
      </c>
      <c r="AV650" s="241">
        <v>0</v>
      </c>
      <c r="AW650" s="241">
        <v>0</v>
      </c>
      <c r="AX650" s="241">
        <v>0</v>
      </c>
      <c r="AY650" s="241">
        <v>0</v>
      </c>
      <c r="AZ650" s="241">
        <v>0</v>
      </c>
      <c r="BA650" s="241">
        <v>0</v>
      </c>
    </row>
    <row r="651" spans="1:53" s="244" customFormat="1" ht="0.75" customHeight="1" outlineLevel="2" x14ac:dyDescent="0.25">
      <c r="A651" s="211"/>
      <c r="B651" s="212"/>
      <c r="C651" s="239"/>
      <c r="D651" s="246"/>
      <c r="E651" s="246"/>
      <c r="F651" s="241"/>
      <c r="G651" s="241"/>
      <c r="H651" s="236"/>
      <c r="I651" s="237"/>
      <c r="J651" s="242"/>
      <c r="K651" s="241"/>
      <c r="L651" s="241"/>
      <c r="M651" s="236"/>
      <c r="N651" s="237"/>
      <c r="O651" s="148"/>
      <c r="P651" s="243"/>
      <c r="Q651" s="241"/>
      <c r="R651" s="241"/>
      <c r="S651" s="236"/>
      <c r="T651" s="237"/>
      <c r="U651" s="243"/>
      <c r="V651" s="241"/>
      <c r="W651" s="241"/>
      <c r="X651" s="236"/>
      <c r="Y651" s="232"/>
      <c r="AA651" s="241"/>
      <c r="AB651" s="245"/>
      <c r="AC651" s="241"/>
      <c r="AD651" s="241"/>
      <c r="AE651" s="241"/>
      <c r="AF651" s="241"/>
      <c r="AG651" s="241"/>
      <c r="AH651" s="241"/>
      <c r="AI651" s="241"/>
      <c r="AJ651" s="241"/>
      <c r="AK651" s="241"/>
      <c r="AL651" s="241"/>
      <c r="AM651" s="241"/>
      <c r="AN651" s="241"/>
      <c r="AO651" s="245"/>
      <c r="AP651" s="241"/>
      <c r="AQ651" s="241"/>
      <c r="AR651" s="241"/>
      <c r="AS651" s="241"/>
      <c r="AT651" s="241"/>
      <c r="AU651" s="241"/>
      <c r="AV651" s="241"/>
      <c r="AW651" s="241"/>
      <c r="AX651" s="241"/>
      <c r="AY651" s="241"/>
      <c r="AZ651" s="241"/>
      <c r="BA651" s="241"/>
    </row>
    <row r="652" spans="1:53" s="138" customFormat="1" outlineLevel="2" x14ac:dyDescent="0.25">
      <c r="A652" s="138" t="s">
        <v>1710</v>
      </c>
      <c r="B652" s="139" t="s">
        <v>1711</v>
      </c>
      <c r="C652" s="140" t="s">
        <v>1712</v>
      </c>
      <c r="D652" s="141"/>
      <c r="E652" s="142"/>
      <c r="F652" s="143">
        <v>424.72</v>
      </c>
      <c r="G652" s="143">
        <v>10866.42</v>
      </c>
      <c r="H652" s="144">
        <f>+F652-G652</f>
        <v>-10441.700000000001</v>
      </c>
      <c r="I652" s="145">
        <f>IF(G652&lt;0,IF(H652=0,0,IF(OR(G652=0,F652=0),"N.M.",IF(ABS(H652/G652)&gt;=10,"N.M.",H652/(-G652)))),IF(H652=0,0,IF(OR(G652=0,F652=0),"N.M.",IF(ABS(H652/G652)&gt;=10,"N.M.",H652/G652))))</f>
        <v>-0.96091445020531152</v>
      </c>
      <c r="J652" s="146"/>
      <c r="K652" s="143">
        <v>949.11</v>
      </c>
      <c r="L652" s="143">
        <v>22163.91</v>
      </c>
      <c r="M652" s="144">
        <f>+K652-L652</f>
        <v>-21214.799999999999</v>
      </c>
      <c r="N652" s="145">
        <f>IF(L652&lt;0,IF(M652=0,0,IF(OR(L652=0,K652=0),"N.M.",IF(ABS(M652/L652)&gt;=10,"N.M.",M652/(-L652)))),IF(M652=0,0,IF(OR(L652=0,K652=0),"N.M.",IF(ABS(M652/L652)&gt;=10,"N.M.",M652/L652))))</f>
        <v>-0.95717768209670584</v>
      </c>
      <c r="O652" s="147"/>
      <c r="P652" s="146"/>
      <c r="Q652" s="143">
        <v>7780.49</v>
      </c>
      <c r="R652" s="143">
        <v>30407.440000000002</v>
      </c>
      <c r="S652" s="144">
        <f>+Q652-R652</f>
        <v>-22626.950000000004</v>
      </c>
      <c r="T652" s="145">
        <f>IF(R652&lt;0,IF(S652=0,0,IF(OR(R652=0,Q652=0),"N.M.",IF(ABS(S652/R652)&gt;=10,"N.M.",S652/(-R652)))),IF(S652=0,0,IF(OR(R652=0,Q652=0),"N.M.",IF(ABS(S652/R652)&gt;=10,"N.M.",S652/R652))))</f>
        <v>-0.74412545087649606</v>
      </c>
      <c r="U652" s="146"/>
      <c r="V652" s="143">
        <v>68215.900000000009</v>
      </c>
      <c r="W652" s="143">
        <v>78188.639999999999</v>
      </c>
      <c r="X652" s="144">
        <f>+V652-W652</f>
        <v>-9972.7399999999907</v>
      </c>
      <c r="Y652" s="145">
        <f>IF(W652&lt;0,IF(X652=0,0,IF(OR(W652=0,V652=0),"N.M.",IF(ABS(X652/W652)&gt;=10,"N.M.",X652/(-W652)))),IF(X652=0,0,IF(OR(W652=0,V652=0),"N.M.",IF(ABS(X652/W652)&gt;=10,"N.M.",X652/W652))))</f>
        <v>-0.12754717309317556</v>
      </c>
      <c r="Z652" s="148"/>
      <c r="AA652" s="149">
        <v>8243.5300000000007</v>
      </c>
      <c r="AB652" s="150"/>
      <c r="AC652" s="117">
        <v>11297.49</v>
      </c>
      <c r="AD652" s="117">
        <v>10866.42</v>
      </c>
      <c r="AE652" s="117">
        <v>16600.02</v>
      </c>
      <c r="AF652" s="117">
        <v>3263.05</v>
      </c>
      <c r="AG652" s="117">
        <v>4013</v>
      </c>
      <c r="AH652" s="117">
        <v>11197.69</v>
      </c>
      <c r="AI652" s="117">
        <v>6838.07</v>
      </c>
      <c r="AJ652" s="117">
        <v>1014.6700000000001</v>
      </c>
      <c r="AK652" s="117">
        <v>4210.17</v>
      </c>
      <c r="AL652" s="117">
        <v>4354.7300000000005</v>
      </c>
      <c r="AM652" s="117">
        <v>8944.01</v>
      </c>
      <c r="AN652" s="117">
        <v>6831.38</v>
      </c>
      <c r="AO652" s="150"/>
      <c r="AP652" s="117">
        <v>524.39</v>
      </c>
      <c r="AQ652" s="117">
        <v>424.72</v>
      </c>
      <c r="AR652" s="117">
        <v>21495.52</v>
      </c>
      <c r="AS652" s="117">
        <v>0</v>
      </c>
      <c r="AT652" s="117">
        <v>0</v>
      </c>
      <c r="AU652" s="117">
        <v>0</v>
      </c>
      <c r="AV652" s="117">
        <v>0</v>
      </c>
      <c r="AW652" s="117">
        <v>0</v>
      </c>
      <c r="AX652" s="117">
        <v>0</v>
      </c>
      <c r="AY652" s="117">
        <v>0</v>
      </c>
      <c r="AZ652" s="117">
        <v>0</v>
      </c>
      <c r="BA652" s="117">
        <v>0</v>
      </c>
    </row>
    <row r="653" spans="1:53" s="244" customFormat="1" x14ac:dyDescent="0.25">
      <c r="A653" s="211" t="s">
        <v>1713</v>
      </c>
      <c r="B653" s="212" t="s">
        <v>1714</v>
      </c>
      <c r="C653" s="239" t="s">
        <v>1715</v>
      </c>
      <c r="D653" s="246"/>
      <c r="E653" s="246"/>
      <c r="F653" s="241">
        <v>424.72</v>
      </c>
      <c r="G653" s="241">
        <v>10866.42</v>
      </c>
      <c r="H653" s="236">
        <f>+F653-G653</f>
        <v>-10441.700000000001</v>
      </c>
      <c r="I653" s="237">
        <f>IF(G653&lt;0,IF(H653=0,0,IF(OR(G653=0,F653=0),"N.M.",IF(ABS(H653/G653)&gt;=10,"N.M.",H653/(-G653)))),IF(H653=0,0,IF(OR(G653=0,F653=0),"N.M.",IF(ABS(H653/G653)&gt;=10,"N.M.",H653/G653))))</f>
        <v>-0.96091445020531152</v>
      </c>
      <c r="J653" s="242"/>
      <c r="K653" s="241">
        <v>949.11</v>
      </c>
      <c r="L653" s="241">
        <v>22163.91</v>
      </c>
      <c r="M653" s="236">
        <f>+K653-L653</f>
        <v>-21214.799999999999</v>
      </c>
      <c r="N653" s="237">
        <f>IF(L653&lt;0,IF(M653=0,0,IF(OR(L653=0,K653=0),"N.M.",IF(ABS(M653/L653)&gt;=10,"N.M.",M653/(-L653)))),IF(M653=0,0,IF(OR(L653=0,K653=0),"N.M.",IF(ABS(M653/L653)&gt;=10,"N.M.",M653/L653))))</f>
        <v>-0.95717768209670584</v>
      </c>
      <c r="O653" s="148"/>
      <c r="P653" s="243"/>
      <c r="Q653" s="241">
        <v>7780.49</v>
      </c>
      <c r="R653" s="241">
        <v>30407.440000000002</v>
      </c>
      <c r="S653" s="236">
        <f>+Q653-R653</f>
        <v>-22626.950000000004</v>
      </c>
      <c r="T653" s="237">
        <f>IF(R653&lt;0,IF(S653=0,0,IF(OR(R653=0,Q653=0),"N.M.",IF(ABS(S653/R653)&gt;=10,"N.M.",S653/(-R653)))),IF(S653=0,0,IF(OR(R653=0,Q653=0),"N.M.",IF(ABS(S653/R653)&gt;=10,"N.M.",S653/R653))))</f>
        <v>-0.74412545087649606</v>
      </c>
      <c r="U653" s="243"/>
      <c r="V653" s="241">
        <v>68215.900000000009</v>
      </c>
      <c r="W653" s="241">
        <v>78188.639999999999</v>
      </c>
      <c r="X653" s="236">
        <f>+V653-W653</f>
        <v>-9972.7399999999907</v>
      </c>
      <c r="Y653" s="232">
        <f>IF(W653&lt;0,IF(X653=0,0,IF(OR(W653=0,V653=0),"N.M.",IF(ABS(X653/W653)&gt;=10,"N.M.",X653/(-W653)))),IF(X653=0,0,IF(OR(W653=0,V653=0),"N.M.",IF(ABS(X653/W653)&gt;=10,"N.M.",X653/W653))))</f>
        <v>-0.12754717309317556</v>
      </c>
      <c r="AA653" s="241">
        <v>8243.5300000000007</v>
      </c>
      <c r="AB653" s="245"/>
      <c r="AC653" s="241">
        <v>11297.49</v>
      </c>
      <c r="AD653" s="241">
        <v>10866.42</v>
      </c>
      <c r="AE653" s="241">
        <v>16600.02</v>
      </c>
      <c r="AF653" s="241">
        <v>3263.05</v>
      </c>
      <c r="AG653" s="241">
        <v>4013</v>
      </c>
      <c r="AH653" s="241">
        <v>11197.69</v>
      </c>
      <c r="AI653" s="241">
        <v>6838.07</v>
      </c>
      <c r="AJ653" s="241">
        <v>1014.6700000000001</v>
      </c>
      <c r="AK653" s="241">
        <v>4210.17</v>
      </c>
      <c r="AL653" s="241">
        <v>4354.7300000000005</v>
      </c>
      <c r="AM653" s="241">
        <v>8944.01</v>
      </c>
      <c r="AN653" s="241">
        <v>6831.38</v>
      </c>
      <c r="AO653" s="245"/>
      <c r="AP653" s="241">
        <v>524.39</v>
      </c>
      <c r="AQ653" s="241">
        <v>424.72</v>
      </c>
      <c r="AR653" s="241">
        <v>21495.52</v>
      </c>
      <c r="AS653" s="241">
        <v>0</v>
      </c>
      <c r="AT653" s="241">
        <v>0</v>
      </c>
      <c r="AU653" s="241">
        <v>0</v>
      </c>
      <c r="AV653" s="241">
        <v>0</v>
      </c>
      <c r="AW653" s="241">
        <v>0</v>
      </c>
      <c r="AX653" s="241">
        <v>0</v>
      </c>
      <c r="AY653" s="241">
        <v>0</v>
      </c>
      <c r="AZ653" s="241">
        <v>0</v>
      </c>
      <c r="BA653" s="241">
        <v>0</v>
      </c>
    </row>
    <row r="654" spans="1:53" s="244" customFormat="1" ht="0.75" customHeight="1" outlineLevel="2" x14ac:dyDescent="0.25">
      <c r="A654" s="211"/>
      <c r="B654" s="212"/>
      <c r="C654" s="239"/>
      <c r="D654" s="246"/>
      <c r="E654" s="246"/>
      <c r="F654" s="241"/>
      <c r="G654" s="241"/>
      <c r="H654" s="236"/>
      <c r="I654" s="237"/>
      <c r="J654" s="242"/>
      <c r="K654" s="241"/>
      <c r="L654" s="241"/>
      <c r="M654" s="236"/>
      <c r="N654" s="237"/>
      <c r="O654" s="148"/>
      <c r="P654" s="243"/>
      <c r="Q654" s="241"/>
      <c r="R654" s="241"/>
      <c r="S654" s="236"/>
      <c r="T654" s="237"/>
      <c r="U654" s="243"/>
      <c r="V654" s="241"/>
      <c r="W654" s="241"/>
      <c r="X654" s="236"/>
      <c r="Y654" s="232"/>
      <c r="AA654" s="241"/>
      <c r="AB654" s="245"/>
      <c r="AC654" s="241"/>
      <c r="AD654" s="241"/>
      <c r="AE654" s="241"/>
      <c r="AF654" s="241"/>
      <c r="AG654" s="241"/>
      <c r="AH654" s="241"/>
      <c r="AI654" s="241"/>
      <c r="AJ654" s="241"/>
      <c r="AK654" s="241"/>
      <c r="AL654" s="241"/>
      <c r="AM654" s="241"/>
      <c r="AN654" s="241"/>
      <c r="AO654" s="245"/>
      <c r="AP654" s="241"/>
      <c r="AQ654" s="241"/>
      <c r="AR654" s="241"/>
      <c r="AS654" s="241"/>
      <c r="AT654" s="241"/>
      <c r="AU654" s="241"/>
      <c r="AV654" s="241"/>
      <c r="AW654" s="241"/>
      <c r="AX654" s="241"/>
      <c r="AY654" s="241"/>
      <c r="AZ654" s="241"/>
      <c r="BA654" s="241"/>
    </row>
    <row r="655" spans="1:53" s="138" customFormat="1" outlineLevel="2" x14ac:dyDescent="0.25">
      <c r="A655" s="138" t="s">
        <v>1716</v>
      </c>
      <c r="B655" s="139" t="s">
        <v>1717</v>
      </c>
      <c r="C655" s="140" t="s">
        <v>1718</v>
      </c>
      <c r="D655" s="141"/>
      <c r="E655" s="142"/>
      <c r="F655" s="143">
        <v>1293.42</v>
      </c>
      <c r="G655" s="143">
        <v>855.98</v>
      </c>
      <c r="H655" s="144">
        <f>+F655-G655</f>
        <v>437.44000000000005</v>
      </c>
      <c r="I655" s="145">
        <f>IF(G655&lt;0,IF(H655=0,0,IF(OR(G655=0,F655=0),"N.M.",IF(ABS(H655/G655)&gt;=10,"N.M.",H655/(-G655)))),IF(H655=0,0,IF(OR(G655=0,F655=0),"N.M.",IF(ABS(H655/G655)&gt;=10,"N.M.",H655/G655))))</f>
        <v>0.51103997756956943</v>
      </c>
      <c r="J655" s="146"/>
      <c r="K655" s="143">
        <v>2725.93</v>
      </c>
      <c r="L655" s="143">
        <v>1733.06</v>
      </c>
      <c r="M655" s="144">
        <f>+K655-L655</f>
        <v>992.86999999999989</v>
      </c>
      <c r="N655" s="145">
        <f>IF(L655&lt;0,IF(M655=0,0,IF(OR(L655=0,K655=0),"N.M.",IF(ABS(M655/L655)&gt;=10,"N.M.",M655/(-L655)))),IF(M655=0,0,IF(OR(L655=0,K655=0),"N.M.",IF(ABS(M655/L655)&gt;=10,"N.M.",M655/L655))))</f>
        <v>0.572899957300959</v>
      </c>
      <c r="O655" s="147"/>
      <c r="P655" s="146"/>
      <c r="Q655" s="143">
        <v>22202.38</v>
      </c>
      <c r="R655" s="143">
        <v>18754.02</v>
      </c>
      <c r="S655" s="144">
        <f>+Q655-R655</f>
        <v>3448.3600000000006</v>
      </c>
      <c r="T655" s="145">
        <f>IF(R655&lt;0,IF(S655=0,0,IF(OR(R655=0,Q655=0),"N.M.",IF(ABS(S655/R655)&gt;=10,"N.M.",S655/(-R655)))),IF(S655=0,0,IF(OR(R655=0,Q655=0),"N.M.",IF(ABS(S655/R655)&gt;=10,"N.M.",S655/R655))))</f>
        <v>0.18387311093834818</v>
      </c>
      <c r="U655" s="146"/>
      <c r="V655" s="143">
        <v>79286.489999999991</v>
      </c>
      <c r="W655" s="143">
        <v>44005.25</v>
      </c>
      <c r="X655" s="144">
        <f>+V655-W655</f>
        <v>35281.239999999991</v>
      </c>
      <c r="Y655" s="145">
        <f>IF(W655&lt;0,IF(X655=0,0,IF(OR(W655=0,V655=0),"N.M.",IF(ABS(X655/W655)&gt;=10,"N.M.",X655/(-W655)))),IF(X655=0,0,IF(OR(W655=0,V655=0),"N.M.",IF(ABS(X655/W655)&gt;=10,"N.M.",X655/W655))))</f>
        <v>0.80175070020054406</v>
      </c>
      <c r="Z655" s="148"/>
      <c r="AA655" s="149">
        <v>17020.96</v>
      </c>
      <c r="AB655" s="150"/>
      <c r="AC655" s="117">
        <v>877.08</v>
      </c>
      <c r="AD655" s="117">
        <v>855.98</v>
      </c>
      <c r="AE655" s="117">
        <v>17021.13</v>
      </c>
      <c r="AF655" s="117">
        <v>914.76</v>
      </c>
      <c r="AG655" s="117">
        <v>919.72</v>
      </c>
      <c r="AH655" s="117">
        <v>-234903.31</v>
      </c>
      <c r="AI655" s="117">
        <v>253087.99000000002</v>
      </c>
      <c r="AJ655" s="117">
        <v>962.84</v>
      </c>
      <c r="AK655" s="117">
        <v>17234.580000000002</v>
      </c>
      <c r="AL655" s="117">
        <v>967.98</v>
      </c>
      <c r="AM655" s="117">
        <v>878.42000000000007</v>
      </c>
      <c r="AN655" s="117">
        <v>19476.45</v>
      </c>
      <c r="AO655" s="150"/>
      <c r="AP655" s="117">
        <v>1432.51</v>
      </c>
      <c r="AQ655" s="117">
        <v>1293.42</v>
      </c>
      <c r="AR655" s="117">
        <v>16012.31</v>
      </c>
      <c r="AS655" s="117">
        <v>0</v>
      </c>
      <c r="AT655" s="117">
        <v>0</v>
      </c>
      <c r="AU655" s="117">
        <v>0</v>
      </c>
      <c r="AV655" s="117">
        <v>0</v>
      </c>
      <c r="AW655" s="117">
        <v>0</v>
      </c>
      <c r="AX655" s="117">
        <v>0</v>
      </c>
      <c r="AY655" s="117">
        <v>0</v>
      </c>
      <c r="AZ655" s="117">
        <v>0</v>
      </c>
      <c r="BA655" s="117">
        <v>0</v>
      </c>
    </row>
    <row r="656" spans="1:53" s="138" customFormat="1" outlineLevel="2" x14ac:dyDescent="0.25">
      <c r="A656" s="138" t="s">
        <v>1719</v>
      </c>
      <c r="B656" s="139" t="s">
        <v>1720</v>
      </c>
      <c r="C656" s="140" t="s">
        <v>1721</v>
      </c>
      <c r="D656" s="141"/>
      <c r="E656" s="142"/>
      <c r="F656" s="143">
        <v>13634.78</v>
      </c>
      <c r="G656" s="143">
        <v>7704.1100000000006</v>
      </c>
      <c r="H656" s="144">
        <f>+F656-G656</f>
        <v>5930.67</v>
      </c>
      <c r="I656" s="145">
        <f>IF(G656&lt;0,IF(H656=0,0,IF(OR(G656=0,F656=0),"N.M.",IF(ABS(H656/G656)&gt;=10,"N.M.",H656/(-G656)))),IF(H656=0,0,IF(OR(G656=0,F656=0),"N.M.",IF(ABS(H656/G656)&gt;=10,"N.M.",H656/G656))))</f>
        <v>0.76980598667464506</v>
      </c>
      <c r="J656" s="146"/>
      <c r="K656" s="143">
        <v>28400.880000000001</v>
      </c>
      <c r="L656" s="143">
        <v>15609.89</v>
      </c>
      <c r="M656" s="144">
        <f>+K656-L656</f>
        <v>12790.990000000002</v>
      </c>
      <c r="N656" s="145">
        <f>IF(L656&lt;0,IF(M656=0,0,IF(OR(L656=0,K656=0),"N.M.",IF(ABS(M656/L656)&gt;=10,"N.M.",M656/(-L656)))),IF(M656=0,0,IF(OR(L656=0,K656=0),"N.M.",IF(ABS(M656/L656)&gt;=10,"N.M.",M656/L656))))</f>
        <v>0.81941576782411674</v>
      </c>
      <c r="O656" s="147"/>
      <c r="P656" s="146"/>
      <c r="Q656" s="143">
        <v>36437.65</v>
      </c>
      <c r="R656" s="143">
        <v>19032.079999999998</v>
      </c>
      <c r="S656" s="144">
        <f>+Q656-R656</f>
        <v>17405.570000000003</v>
      </c>
      <c r="T656" s="145">
        <f>IF(R656&lt;0,IF(S656=0,0,IF(OR(R656=0,Q656=0),"N.M.",IF(ABS(S656/R656)&gt;=10,"N.M.",S656/(-R656)))),IF(S656=0,0,IF(OR(R656=0,Q656=0),"N.M.",IF(ABS(S656/R656)&gt;=10,"N.M.",S656/R656))))</f>
        <v>0.91453850551279758</v>
      </c>
      <c r="U656" s="146"/>
      <c r="V656" s="143">
        <v>110400.06000000001</v>
      </c>
      <c r="W656" s="143">
        <v>43272.69</v>
      </c>
      <c r="X656" s="144">
        <f>+V656-W656</f>
        <v>67127.37000000001</v>
      </c>
      <c r="Y656" s="145">
        <f>IF(W656&lt;0,IF(X656=0,0,IF(OR(W656=0,V656=0),"N.M.",IF(ABS(X656/W656)&gt;=10,"N.M.",X656/(-W656)))),IF(X656=0,0,IF(OR(W656=0,V656=0),"N.M.",IF(ABS(X656/W656)&gt;=10,"N.M.",X656/W656))))</f>
        <v>1.5512640882736897</v>
      </c>
      <c r="Z656" s="148"/>
      <c r="AA656" s="149">
        <v>3422.19</v>
      </c>
      <c r="AB656" s="150"/>
      <c r="AC656" s="117">
        <v>7905.78</v>
      </c>
      <c r="AD656" s="117">
        <v>7704.1100000000006</v>
      </c>
      <c r="AE656" s="117">
        <v>8405.07</v>
      </c>
      <c r="AF656" s="117">
        <v>8116.08</v>
      </c>
      <c r="AG656" s="117">
        <v>8416.48</v>
      </c>
      <c r="AH656" s="117">
        <v>7903.74</v>
      </c>
      <c r="AI656" s="117">
        <v>8413.94</v>
      </c>
      <c r="AJ656" s="117">
        <v>8404.380000000001</v>
      </c>
      <c r="AK656" s="117">
        <v>7772.82</v>
      </c>
      <c r="AL656" s="117">
        <v>8438.35</v>
      </c>
      <c r="AM656" s="117">
        <v>8091.55</v>
      </c>
      <c r="AN656" s="117">
        <v>8036.77</v>
      </c>
      <c r="AO656" s="150"/>
      <c r="AP656" s="117">
        <v>14766.1</v>
      </c>
      <c r="AQ656" s="117">
        <v>13634.78</v>
      </c>
      <c r="AR656" s="117">
        <v>0</v>
      </c>
      <c r="AS656" s="117">
        <v>0</v>
      </c>
      <c r="AT656" s="117">
        <v>0</v>
      </c>
      <c r="AU656" s="117">
        <v>0</v>
      </c>
      <c r="AV656" s="117">
        <v>0</v>
      </c>
      <c r="AW656" s="117">
        <v>0</v>
      </c>
      <c r="AX656" s="117">
        <v>0</v>
      </c>
      <c r="AY656" s="117">
        <v>0</v>
      </c>
      <c r="AZ656" s="117">
        <v>0</v>
      </c>
      <c r="BA656" s="117">
        <v>0</v>
      </c>
    </row>
    <row r="657" spans="1:53" s="138" customFormat="1" outlineLevel="2" x14ac:dyDescent="0.25">
      <c r="A657" s="138" t="s">
        <v>1722</v>
      </c>
      <c r="B657" s="139" t="s">
        <v>1723</v>
      </c>
      <c r="C657" s="140" t="s">
        <v>1724</v>
      </c>
      <c r="D657" s="141"/>
      <c r="E657" s="142"/>
      <c r="F657" s="143">
        <v>88033.650000000009</v>
      </c>
      <c r="G657" s="143">
        <v>73433.740000000005</v>
      </c>
      <c r="H657" s="144">
        <f>+F657-G657</f>
        <v>14599.910000000003</v>
      </c>
      <c r="I657" s="145">
        <f>IF(G657&lt;0,IF(H657=0,0,IF(OR(G657=0,F657=0),"N.M.",IF(ABS(H657/G657)&gt;=10,"N.M.",H657/(-G657)))),IF(H657=0,0,IF(OR(G657=0,F657=0),"N.M.",IF(ABS(H657/G657)&gt;=10,"N.M.",H657/G657))))</f>
        <v>0.19881746456056851</v>
      </c>
      <c r="J657" s="146"/>
      <c r="K657" s="143">
        <v>161644.45000000001</v>
      </c>
      <c r="L657" s="143">
        <v>151585.09</v>
      </c>
      <c r="M657" s="144">
        <f>+K657-L657</f>
        <v>10059.360000000015</v>
      </c>
      <c r="N657" s="145">
        <f>IF(L657&lt;0,IF(M657=0,0,IF(OR(L657=0,K657=0),"N.M.",IF(ABS(M657/L657)&gt;=10,"N.M.",M657/(-L657)))),IF(M657=0,0,IF(OR(L657=0,K657=0),"N.M.",IF(ABS(M657/L657)&gt;=10,"N.M.",M657/L657))))</f>
        <v>6.6361144094053151E-2</v>
      </c>
      <c r="O657" s="147"/>
      <c r="P657" s="146"/>
      <c r="Q657" s="143">
        <v>233866.84000000003</v>
      </c>
      <c r="R657" s="143">
        <v>230667.61</v>
      </c>
      <c r="S657" s="144">
        <f>+Q657-R657</f>
        <v>3199.2300000000396</v>
      </c>
      <c r="T657" s="145">
        <f>IF(R657&lt;0,IF(S657=0,0,IF(OR(R657=0,Q657=0),"N.M.",IF(ABS(S657/R657)&gt;=10,"N.M.",S657/(-R657)))),IF(S657=0,0,IF(OR(R657=0,Q657=0),"N.M.",IF(ABS(S657/R657)&gt;=10,"N.M.",S657/R657))))</f>
        <v>1.3869437499265891E-2</v>
      </c>
      <c r="U657" s="146"/>
      <c r="V657" s="143">
        <v>984033.03</v>
      </c>
      <c r="W657" s="143">
        <v>1118097.54</v>
      </c>
      <c r="X657" s="144">
        <f>+V657-W657</f>
        <v>-134064.51</v>
      </c>
      <c r="Y657" s="145">
        <f>IF(W657&lt;0,IF(X657=0,0,IF(OR(W657=0,V657=0),"N.M.",IF(ABS(X657/W657)&gt;=10,"N.M.",X657/(-W657)))),IF(X657=0,0,IF(OR(W657=0,V657=0),"N.M.",IF(ABS(X657/W657)&gt;=10,"N.M.",X657/W657))))</f>
        <v>-0.11990412750572728</v>
      </c>
      <c r="Z657" s="148"/>
      <c r="AA657" s="149">
        <v>79082.52</v>
      </c>
      <c r="AB657" s="150"/>
      <c r="AC657" s="117">
        <v>78151.350000000006</v>
      </c>
      <c r="AD657" s="117">
        <v>73433.740000000005</v>
      </c>
      <c r="AE657" s="117">
        <v>78741.320000000007</v>
      </c>
      <c r="AF657" s="117">
        <v>76821.150000000009</v>
      </c>
      <c r="AG657" s="117">
        <v>78793.42</v>
      </c>
      <c r="AH657" s="117">
        <v>99531.33</v>
      </c>
      <c r="AI657" s="117">
        <v>74995.59</v>
      </c>
      <c r="AJ657" s="117">
        <v>200424.30000000002</v>
      </c>
      <c r="AK657" s="117">
        <v>-54443.21</v>
      </c>
      <c r="AL657" s="117">
        <v>73894.03</v>
      </c>
      <c r="AM657" s="117">
        <v>121408.26000000001</v>
      </c>
      <c r="AN657" s="117">
        <v>72222.39</v>
      </c>
      <c r="AO657" s="150"/>
      <c r="AP657" s="117">
        <v>73610.8</v>
      </c>
      <c r="AQ657" s="117">
        <v>88033.650000000009</v>
      </c>
      <c r="AR657" s="117">
        <v>-39139.14</v>
      </c>
      <c r="AS657" s="117">
        <v>0</v>
      </c>
      <c r="AT657" s="117">
        <v>0</v>
      </c>
      <c r="AU657" s="117">
        <v>0</v>
      </c>
      <c r="AV657" s="117">
        <v>0</v>
      </c>
      <c r="AW657" s="117">
        <v>0</v>
      </c>
      <c r="AX657" s="117">
        <v>0</v>
      </c>
      <c r="AY657" s="117">
        <v>0</v>
      </c>
      <c r="AZ657" s="117">
        <v>0</v>
      </c>
      <c r="BA657" s="117">
        <v>0</v>
      </c>
    </row>
    <row r="658" spans="1:53" s="138" customFormat="1" outlineLevel="2" x14ac:dyDescent="0.25">
      <c r="A658" s="138" t="s">
        <v>1725</v>
      </c>
      <c r="B658" s="139" t="s">
        <v>1726</v>
      </c>
      <c r="C658" s="140" t="s">
        <v>1727</v>
      </c>
      <c r="D658" s="141"/>
      <c r="E658" s="142"/>
      <c r="F658" s="143">
        <v>0</v>
      </c>
      <c r="G658" s="143">
        <v>0</v>
      </c>
      <c r="H658" s="144">
        <f>+F658-G658</f>
        <v>0</v>
      </c>
      <c r="I658" s="145">
        <f>IF(G658&lt;0,IF(H658=0,0,IF(OR(G658=0,F658=0),"N.M.",IF(ABS(H658/G658)&gt;=10,"N.M.",H658/(-G658)))),IF(H658=0,0,IF(OR(G658=0,F658=0),"N.M.",IF(ABS(H658/G658)&gt;=10,"N.M.",H658/G658))))</f>
        <v>0</v>
      </c>
      <c r="J658" s="146"/>
      <c r="K658" s="143">
        <v>0</v>
      </c>
      <c r="L658" s="143">
        <v>0</v>
      </c>
      <c r="M658" s="144">
        <f>+K658-L658</f>
        <v>0</v>
      </c>
      <c r="N658" s="145">
        <f>IF(L658&lt;0,IF(M658=0,0,IF(OR(L658=0,K658=0),"N.M.",IF(ABS(M658/L658)&gt;=10,"N.M.",M658/(-L658)))),IF(M658=0,0,IF(OR(L658=0,K658=0),"N.M.",IF(ABS(M658/L658)&gt;=10,"N.M.",M658/L658))))</f>
        <v>0</v>
      </c>
      <c r="O658" s="147"/>
      <c r="P658" s="146"/>
      <c r="Q658" s="143">
        <v>87388.150000000009</v>
      </c>
      <c r="R658" s="143">
        <v>0</v>
      </c>
      <c r="S658" s="144">
        <f>+Q658-R658</f>
        <v>87388.150000000009</v>
      </c>
      <c r="T658" s="145" t="str">
        <f>IF(R658&lt;0,IF(S658=0,0,IF(OR(R658=0,Q658=0),"N.M.",IF(ABS(S658/R658)&gt;=10,"N.M.",S658/(-R658)))),IF(S658=0,0,IF(OR(R658=0,Q658=0),"N.M.",IF(ABS(S658/R658)&gt;=10,"N.M.",S658/R658))))</f>
        <v>N.M.</v>
      </c>
      <c r="U658" s="146"/>
      <c r="V658" s="143">
        <v>6779</v>
      </c>
      <c r="W658" s="143">
        <v>0</v>
      </c>
      <c r="X658" s="144">
        <f>+V658-W658</f>
        <v>6779</v>
      </c>
      <c r="Y658" s="145" t="str">
        <f>IF(W658&lt;0,IF(X658=0,0,IF(OR(W658=0,V658=0),"N.M.",IF(ABS(X658/W658)&gt;=10,"N.M.",X658/(-W658)))),IF(X658=0,0,IF(OR(W658=0,V658=0),"N.M.",IF(ABS(X658/W658)&gt;=10,"N.M.",X658/W658))))</f>
        <v>N.M.</v>
      </c>
      <c r="Z658" s="148"/>
      <c r="AA658" s="149">
        <v>0</v>
      </c>
      <c r="AB658" s="150"/>
      <c r="AC658" s="117">
        <v>0</v>
      </c>
      <c r="AD658" s="117">
        <v>0</v>
      </c>
      <c r="AE658" s="117">
        <v>6566</v>
      </c>
      <c r="AF658" s="117">
        <v>0</v>
      </c>
      <c r="AG658" s="117">
        <v>0</v>
      </c>
      <c r="AH658" s="117">
        <v>-87920.150000000009</v>
      </c>
      <c r="AI658" s="117">
        <v>0</v>
      </c>
      <c r="AJ658" s="117">
        <v>0</v>
      </c>
      <c r="AK658" s="117">
        <v>745</v>
      </c>
      <c r="AL658" s="117">
        <v>0</v>
      </c>
      <c r="AM658" s="117">
        <v>0</v>
      </c>
      <c r="AN658" s="117">
        <v>87388.150000000009</v>
      </c>
      <c r="AO658" s="150"/>
      <c r="AP658" s="117">
        <v>0</v>
      </c>
      <c r="AQ658" s="117">
        <v>0</v>
      </c>
      <c r="AR658" s="117">
        <v>0</v>
      </c>
      <c r="AS658" s="117">
        <v>0</v>
      </c>
      <c r="AT658" s="117">
        <v>0</v>
      </c>
      <c r="AU658" s="117">
        <v>0</v>
      </c>
      <c r="AV658" s="117">
        <v>0</v>
      </c>
      <c r="AW658" s="117">
        <v>0</v>
      </c>
      <c r="AX658" s="117">
        <v>0</v>
      </c>
      <c r="AY658" s="117">
        <v>0</v>
      </c>
      <c r="AZ658" s="117">
        <v>0</v>
      </c>
      <c r="BA658" s="117">
        <v>0</v>
      </c>
    </row>
    <row r="659" spans="1:53" s="244" customFormat="1" x14ac:dyDescent="0.25">
      <c r="A659" s="211" t="s">
        <v>1728</v>
      </c>
      <c r="B659" s="212" t="s">
        <v>1729</v>
      </c>
      <c r="C659" s="239" t="s">
        <v>1730</v>
      </c>
      <c r="D659" s="246"/>
      <c r="E659" s="246"/>
      <c r="F659" s="241">
        <v>102961.85</v>
      </c>
      <c r="G659" s="241">
        <v>81993.83</v>
      </c>
      <c r="H659" s="236">
        <f>+F659-G659</f>
        <v>20968.020000000004</v>
      </c>
      <c r="I659" s="237">
        <f>IF(G659&lt;0,IF(H659=0,0,IF(OR(G659=0,F659=0),"N.M.",IF(ABS(H659/G659)&gt;=10,"N.M.",H659/(-G659)))),IF(H659=0,0,IF(OR(G659=0,F659=0),"N.M.",IF(ABS(H659/G659)&gt;=10,"N.M.",H659/G659))))</f>
        <v>0.25572680285821509</v>
      </c>
      <c r="J659" s="242"/>
      <c r="K659" s="241">
        <v>192771.26</v>
      </c>
      <c r="L659" s="241">
        <v>168928.04</v>
      </c>
      <c r="M659" s="236">
        <f>+K659-L659</f>
        <v>23843.22</v>
      </c>
      <c r="N659" s="237">
        <f>IF(L659&lt;0,IF(M659=0,0,IF(OR(L659=0,K659=0),"N.M.",IF(ABS(M659/L659)&gt;=10,"N.M.",M659/(-L659)))),IF(M659=0,0,IF(OR(L659=0,K659=0),"N.M.",IF(ABS(M659/L659)&gt;=10,"N.M.",M659/L659))))</f>
        <v>0.1411442410626442</v>
      </c>
      <c r="O659" s="148"/>
      <c r="P659" s="243"/>
      <c r="Q659" s="241">
        <v>379895.02</v>
      </c>
      <c r="R659" s="241">
        <v>268453.70999999996</v>
      </c>
      <c r="S659" s="236">
        <f>+Q659-R659</f>
        <v>111441.31000000006</v>
      </c>
      <c r="T659" s="237">
        <f>IF(R659&lt;0,IF(S659=0,0,IF(OR(R659=0,Q659=0),"N.M.",IF(ABS(S659/R659)&gt;=10,"N.M.",S659/(-R659)))),IF(S659=0,0,IF(OR(R659=0,Q659=0),"N.M.",IF(ABS(S659/R659)&gt;=10,"N.M.",S659/R659))))</f>
        <v>0.41512300202519115</v>
      </c>
      <c r="U659" s="243"/>
      <c r="V659" s="241">
        <v>1180498.58</v>
      </c>
      <c r="W659" s="241">
        <v>1205375.4800000002</v>
      </c>
      <c r="X659" s="236">
        <f>+V659-W659</f>
        <v>-24876.90000000014</v>
      </c>
      <c r="Y659" s="232">
        <f>IF(W659&lt;0,IF(X659=0,0,IF(OR(W659=0,V659=0),"N.M.",IF(ABS(X659/W659)&gt;=10,"N.M.",X659/(-W659)))),IF(X659=0,0,IF(OR(W659=0,V659=0),"N.M.",IF(ABS(X659/W659)&gt;=10,"N.M.",X659/W659))))</f>
        <v>-2.0638299362120867E-2</v>
      </c>
      <c r="AA659" s="241">
        <v>99525.67</v>
      </c>
      <c r="AB659" s="245"/>
      <c r="AC659" s="241">
        <v>86934.21</v>
      </c>
      <c r="AD659" s="241">
        <v>81993.83</v>
      </c>
      <c r="AE659" s="241">
        <v>110733.52</v>
      </c>
      <c r="AF659" s="241">
        <v>85851.99</v>
      </c>
      <c r="AG659" s="241">
        <v>88129.62</v>
      </c>
      <c r="AH659" s="241">
        <v>-215388.39</v>
      </c>
      <c r="AI659" s="241">
        <v>336497.52</v>
      </c>
      <c r="AJ659" s="241">
        <v>209791.52000000002</v>
      </c>
      <c r="AK659" s="241">
        <v>-28690.809999999998</v>
      </c>
      <c r="AL659" s="241">
        <v>83300.36</v>
      </c>
      <c r="AM659" s="241">
        <v>130378.23000000001</v>
      </c>
      <c r="AN659" s="241">
        <v>187123.76</v>
      </c>
      <c r="AO659" s="245"/>
      <c r="AP659" s="241">
        <v>89809.41</v>
      </c>
      <c r="AQ659" s="241">
        <v>102961.85</v>
      </c>
      <c r="AR659" s="241">
        <v>-23126.83</v>
      </c>
      <c r="AS659" s="241">
        <v>0</v>
      </c>
      <c r="AT659" s="241">
        <v>0</v>
      </c>
      <c r="AU659" s="241">
        <v>0</v>
      </c>
      <c r="AV659" s="241">
        <v>0</v>
      </c>
      <c r="AW659" s="241">
        <v>0</v>
      </c>
      <c r="AX659" s="241">
        <v>0</v>
      </c>
      <c r="AY659" s="241">
        <v>0</v>
      </c>
      <c r="AZ659" s="241">
        <v>0</v>
      </c>
      <c r="BA659" s="241">
        <v>0</v>
      </c>
    </row>
    <row r="660" spans="1:53" s="244" customFormat="1" ht="0.75" customHeight="1" outlineLevel="2" x14ac:dyDescent="0.25">
      <c r="A660" s="211"/>
      <c r="B660" s="212"/>
      <c r="C660" s="239"/>
      <c r="D660" s="246"/>
      <c r="E660" s="246"/>
      <c r="F660" s="241"/>
      <c r="G660" s="241"/>
      <c r="H660" s="236"/>
      <c r="I660" s="237"/>
      <c r="J660" s="242"/>
      <c r="K660" s="241"/>
      <c r="L660" s="241"/>
      <c r="M660" s="236"/>
      <c r="N660" s="237"/>
      <c r="O660" s="148"/>
      <c r="P660" s="243"/>
      <c r="Q660" s="241"/>
      <c r="R660" s="241"/>
      <c r="S660" s="236"/>
      <c r="T660" s="237"/>
      <c r="U660" s="243"/>
      <c r="V660" s="241"/>
      <c r="W660" s="241"/>
      <c r="X660" s="236"/>
      <c r="Y660" s="232"/>
      <c r="AA660" s="241"/>
      <c r="AB660" s="245"/>
      <c r="AC660" s="241"/>
      <c r="AD660" s="241"/>
      <c r="AE660" s="241"/>
      <c r="AF660" s="241"/>
      <c r="AG660" s="241"/>
      <c r="AH660" s="241"/>
      <c r="AI660" s="241"/>
      <c r="AJ660" s="241"/>
      <c r="AK660" s="241"/>
      <c r="AL660" s="241"/>
      <c r="AM660" s="241"/>
      <c r="AN660" s="241"/>
      <c r="AO660" s="245"/>
      <c r="AP660" s="241"/>
      <c r="AQ660" s="241"/>
      <c r="AR660" s="241"/>
      <c r="AS660" s="241"/>
      <c r="AT660" s="241"/>
      <c r="AU660" s="241"/>
      <c r="AV660" s="241"/>
      <c r="AW660" s="241"/>
      <c r="AX660" s="241"/>
      <c r="AY660" s="241"/>
      <c r="AZ660" s="241"/>
      <c r="BA660" s="241"/>
    </row>
    <row r="661" spans="1:53" s="138" customFormat="1" outlineLevel="2" x14ac:dyDescent="0.25">
      <c r="A661" s="138" t="s">
        <v>1731</v>
      </c>
      <c r="B661" s="139" t="s">
        <v>1732</v>
      </c>
      <c r="C661" s="140" t="s">
        <v>1733</v>
      </c>
      <c r="D661" s="141"/>
      <c r="E661" s="142"/>
      <c r="F661" s="143">
        <v>52721.770000000004</v>
      </c>
      <c r="G661" s="143">
        <v>98775.57</v>
      </c>
      <c r="H661" s="144">
        <f>+F661-G661</f>
        <v>-46053.8</v>
      </c>
      <c r="I661" s="145">
        <f>IF(G661&lt;0,IF(H661=0,0,IF(OR(G661=0,F661=0),"N.M.",IF(ABS(H661/G661)&gt;=10,"N.M.",H661/(-G661)))),IF(H661=0,0,IF(OR(G661=0,F661=0),"N.M.",IF(ABS(H661/G661)&gt;=10,"N.M.",H661/G661))))</f>
        <v>-0.46624686650757874</v>
      </c>
      <c r="J661" s="146"/>
      <c r="K661" s="143">
        <v>87242.8</v>
      </c>
      <c r="L661" s="143">
        <v>176600.39</v>
      </c>
      <c r="M661" s="144">
        <f>+K661-L661</f>
        <v>-89357.590000000011</v>
      </c>
      <c r="N661" s="145">
        <f>IF(L661&lt;0,IF(M661=0,0,IF(OR(L661=0,K661=0),"N.M.",IF(ABS(M661/L661)&gt;=10,"N.M.",M661/(-L661)))),IF(M661=0,0,IF(OR(L661=0,K661=0),"N.M.",IF(ABS(M661/L661)&gt;=10,"N.M.",M661/L661))))</f>
        <v>-0.50598750093360501</v>
      </c>
      <c r="O661" s="147"/>
      <c r="P661" s="146"/>
      <c r="Q661" s="143">
        <v>112824.44</v>
      </c>
      <c r="R661" s="143">
        <v>283785.11</v>
      </c>
      <c r="S661" s="144">
        <f>+Q661-R661</f>
        <v>-170960.66999999998</v>
      </c>
      <c r="T661" s="145">
        <f>IF(R661&lt;0,IF(S661=0,0,IF(OR(R661=0,Q661=0),"N.M.",IF(ABS(S661/R661)&gt;=10,"N.M.",S661/(-R661)))),IF(S661=0,0,IF(OR(R661=0,Q661=0),"N.M.",IF(ABS(S661/R661)&gt;=10,"N.M.",S661/R661))))</f>
        <v>-0.60243002178655525</v>
      </c>
      <c r="U661" s="146"/>
      <c r="V661" s="143">
        <v>524752.65</v>
      </c>
      <c r="W661" s="143">
        <v>945775.96000000008</v>
      </c>
      <c r="X661" s="144">
        <f>+V661-W661</f>
        <v>-421023.31000000006</v>
      </c>
      <c r="Y661" s="145">
        <f>IF(W661&lt;0,IF(X661=0,0,IF(OR(W661=0,V661=0),"N.M.",IF(ABS(X661/W661)&gt;=10,"N.M.",X661/(-W661)))),IF(X661=0,0,IF(OR(W661=0,V661=0),"N.M.",IF(ABS(X661/W661)&gt;=10,"N.M.",X661/W661))))</f>
        <v>-0.44516178017466213</v>
      </c>
      <c r="Z661" s="148"/>
      <c r="AA661" s="149">
        <v>107184.72</v>
      </c>
      <c r="AB661" s="150"/>
      <c r="AC661" s="117">
        <v>77824.820000000007</v>
      </c>
      <c r="AD661" s="117">
        <v>98775.57</v>
      </c>
      <c r="AE661" s="117">
        <v>109874.88</v>
      </c>
      <c r="AF661" s="117">
        <v>80272.479999999996</v>
      </c>
      <c r="AG661" s="117">
        <v>92722.7</v>
      </c>
      <c r="AH661" s="117">
        <v>23776.02</v>
      </c>
      <c r="AI661" s="117">
        <v>9430.44</v>
      </c>
      <c r="AJ661" s="117">
        <v>5308.35</v>
      </c>
      <c r="AK661" s="117">
        <v>32177.25</v>
      </c>
      <c r="AL661" s="117">
        <v>28247.279999999999</v>
      </c>
      <c r="AM661" s="117">
        <v>30118.81</v>
      </c>
      <c r="AN661" s="117">
        <v>25581.64</v>
      </c>
      <c r="AO661" s="150"/>
      <c r="AP661" s="117">
        <v>34521.03</v>
      </c>
      <c r="AQ661" s="117">
        <v>52721.770000000004</v>
      </c>
      <c r="AR661" s="117">
        <v>0</v>
      </c>
      <c r="AS661" s="117">
        <v>0</v>
      </c>
      <c r="AT661" s="117">
        <v>0</v>
      </c>
      <c r="AU661" s="117">
        <v>0</v>
      </c>
      <c r="AV661" s="117">
        <v>0</v>
      </c>
      <c r="AW661" s="117">
        <v>0</v>
      </c>
      <c r="AX661" s="117">
        <v>0</v>
      </c>
      <c r="AY661" s="117">
        <v>0</v>
      </c>
      <c r="AZ661" s="117">
        <v>0</v>
      </c>
      <c r="BA661" s="117">
        <v>0</v>
      </c>
    </row>
    <row r="662" spans="1:53" s="244" customFormat="1" x14ac:dyDescent="0.25">
      <c r="A662" s="211" t="s">
        <v>1734</v>
      </c>
      <c r="B662" s="212" t="s">
        <v>1735</v>
      </c>
      <c r="C662" s="264" t="s">
        <v>1736</v>
      </c>
      <c r="D662" s="265"/>
      <c r="E662" s="265"/>
      <c r="F662" s="266">
        <v>52721.770000000004</v>
      </c>
      <c r="G662" s="266">
        <v>98775.57</v>
      </c>
      <c r="H662" s="267">
        <f>+F662-G662</f>
        <v>-46053.8</v>
      </c>
      <c r="I662" s="268">
        <f>IF(G662&lt;0,IF(H662=0,0,IF(OR(G662=0,F662=0),"N.M.",IF(ABS(H662/G662)&gt;=10,"N.M.",H662/(-G662)))),IF(H662=0,0,IF(OR(G662=0,F662=0),"N.M.",IF(ABS(H662/G662)&gt;=10,"N.M.",H662/G662))))</f>
        <v>-0.46624686650757874</v>
      </c>
      <c r="J662" s="269"/>
      <c r="K662" s="266">
        <v>87242.8</v>
      </c>
      <c r="L662" s="266">
        <v>176600.39</v>
      </c>
      <c r="M662" s="267">
        <f>+K662-L662</f>
        <v>-89357.590000000011</v>
      </c>
      <c r="N662" s="268">
        <f>IF(L662&lt;0,IF(M662=0,0,IF(OR(L662=0,K662=0),"N.M.",IF(ABS(M662/L662)&gt;=10,"N.M.",M662/(-L662)))),IF(M662=0,0,IF(OR(L662=0,K662=0),"N.M.",IF(ABS(M662/L662)&gt;=10,"N.M.",M662/L662))))</f>
        <v>-0.50598750093360501</v>
      </c>
      <c r="O662" s="270"/>
      <c r="P662" s="271"/>
      <c r="Q662" s="266">
        <v>112824.44</v>
      </c>
      <c r="R662" s="266">
        <v>283785.11</v>
      </c>
      <c r="S662" s="267">
        <f>+Q662-R662</f>
        <v>-170960.66999999998</v>
      </c>
      <c r="T662" s="268">
        <f>IF(R662&lt;0,IF(S662=0,0,IF(OR(R662=0,Q662=0),"N.M.",IF(ABS(S662/R662)&gt;=10,"N.M.",S662/(-R662)))),IF(S662=0,0,IF(OR(R662=0,Q662=0),"N.M.",IF(ABS(S662/R662)&gt;=10,"N.M.",S662/R662))))</f>
        <v>-0.60243002178655525</v>
      </c>
      <c r="U662" s="271"/>
      <c r="V662" s="266">
        <v>524752.65</v>
      </c>
      <c r="W662" s="266">
        <v>945775.96000000008</v>
      </c>
      <c r="X662" s="267">
        <f>+V662-W662</f>
        <v>-421023.31000000006</v>
      </c>
      <c r="Y662" s="272">
        <f>IF(W662&lt;0,IF(X662=0,0,IF(OR(W662=0,V662=0),"N.M.",IF(ABS(X662/W662)&gt;=10,"N.M.",X662/(-W662)))),IF(X662=0,0,IF(OR(W662=0,V662=0),"N.M.",IF(ABS(X662/W662)&gt;=10,"N.M.",X662/W662))))</f>
        <v>-0.44516178017466213</v>
      </c>
      <c r="Z662" s="273"/>
      <c r="AA662" s="266">
        <v>107184.72</v>
      </c>
      <c r="AB662" s="274"/>
      <c r="AC662" s="266">
        <v>77824.820000000007</v>
      </c>
      <c r="AD662" s="266">
        <v>98775.57</v>
      </c>
      <c r="AE662" s="266">
        <v>109874.88</v>
      </c>
      <c r="AF662" s="266">
        <v>80272.479999999996</v>
      </c>
      <c r="AG662" s="266">
        <v>92722.7</v>
      </c>
      <c r="AH662" s="266">
        <v>23776.02</v>
      </c>
      <c r="AI662" s="266">
        <v>9430.44</v>
      </c>
      <c r="AJ662" s="266">
        <v>5308.35</v>
      </c>
      <c r="AK662" s="266">
        <v>32177.25</v>
      </c>
      <c r="AL662" s="266">
        <v>28247.279999999999</v>
      </c>
      <c r="AM662" s="266">
        <v>30118.81</v>
      </c>
      <c r="AN662" s="266">
        <v>25581.64</v>
      </c>
      <c r="AO662" s="274"/>
      <c r="AP662" s="266">
        <v>34521.03</v>
      </c>
      <c r="AQ662" s="266">
        <v>52721.770000000004</v>
      </c>
      <c r="AR662" s="266">
        <v>0</v>
      </c>
      <c r="AS662" s="266">
        <v>0</v>
      </c>
      <c r="AT662" s="266">
        <v>0</v>
      </c>
      <c r="AU662" s="266">
        <v>0</v>
      </c>
      <c r="AV662" s="266">
        <v>0</v>
      </c>
      <c r="AW662" s="266">
        <v>0</v>
      </c>
      <c r="AX662" s="266">
        <v>0</v>
      </c>
      <c r="AY662" s="266">
        <v>0</v>
      </c>
      <c r="AZ662" s="266">
        <v>0</v>
      </c>
      <c r="BA662" s="266">
        <v>0</v>
      </c>
    </row>
    <row r="663" spans="1:53" s="244" customFormat="1" ht="0.75" customHeight="1" outlineLevel="2" x14ac:dyDescent="0.25">
      <c r="A663" s="211"/>
      <c r="B663" s="212"/>
      <c r="C663" s="239"/>
      <c r="D663" s="246"/>
      <c r="E663" s="246"/>
      <c r="F663" s="241"/>
      <c r="G663" s="241"/>
      <c r="H663" s="236"/>
      <c r="I663" s="237"/>
      <c r="J663" s="242"/>
      <c r="K663" s="241"/>
      <c r="L663" s="241"/>
      <c r="M663" s="236"/>
      <c r="N663" s="237"/>
      <c r="O663" s="148"/>
      <c r="P663" s="243"/>
      <c r="Q663" s="241"/>
      <c r="R663" s="241"/>
      <c r="S663" s="236"/>
      <c r="T663" s="237"/>
      <c r="U663" s="243"/>
      <c r="V663" s="241"/>
      <c r="W663" s="241"/>
      <c r="X663" s="236"/>
      <c r="Y663" s="232"/>
      <c r="AA663" s="241"/>
      <c r="AB663" s="245"/>
      <c r="AC663" s="241"/>
      <c r="AD663" s="241"/>
      <c r="AE663" s="241"/>
      <c r="AF663" s="241"/>
      <c r="AG663" s="241"/>
      <c r="AH663" s="241"/>
      <c r="AI663" s="241"/>
      <c r="AJ663" s="241"/>
      <c r="AK663" s="241"/>
      <c r="AL663" s="241"/>
      <c r="AM663" s="241"/>
      <c r="AN663" s="241"/>
      <c r="AO663" s="245"/>
      <c r="AP663" s="241"/>
      <c r="AQ663" s="241"/>
      <c r="AR663" s="241"/>
      <c r="AS663" s="241"/>
      <c r="AT663" s="241"/>
      <c r="AU663" s="241"/>
      <c r="AV663" s="241"/>
      <c r="AW663" s="241"/>
      <c r="AX663" s="241"/>
      <c r="AY663" s="241"/>
      <c r="AZ663" s="241"/>
      <c r="BA663" s="241"/>
    </row>
    <row r="664" spans="1:53" s="244" customFormat="1" x14ac:dyDescent="0.25">
      <c r="A664" s="211"/>
      <c r="B664" s="212" t="s">
        <v>1737</v>
      </c>
      <c r="C664" s="275" t="s">
        <v>1738</v>
      </c>
      <c r="D664" s="246"/>
      <c r="E664" s="246"/>
      <c r="F664" s="241">
        <f>SUM(F638,F643,F646,-F648,-F650,F653,F659,-F662)</f>
        <v>3790221.5900000003</v>
      </c>
      <c r="G664" s="241">
        <f>SUM(G638,G643,G646,-G648,-G650,G653,G659,-G662)</f>
        <v>3725697.4800000004</v>
      </c>
      <c r="H664" s="236">
        <f>+F664-G664</f>
        <v>64524.10999999987</v>
      </c>
      <c r="I664" s="237">
        <f>IF(G664&lt;0,IF(H664=0,0,IF(OR(G664=0,F664=0),"N.M.",IF(ABS(H664/G664)&gt;=10,"N.M.",H664/(-G664)))),IF(H664=0,0,IF(OR(G664=0,F664=0),"N.M.",IF(ABS(H664/G664)&gt;=10,"N.M.",H664/G664))))</f>
        <v>1.7318665926681697E-2</v>
      </c>
      <c r="J664" s="242"/>
      <c r="K664" s="241">
        <f>SUM(K638,K643,K646,-K648,-K650,K653,K659,-K662)</f>
        <v>7642991.3900000006</v>
      </c>
      <c r="L664" s="241">
        <f>SUM(L638,L643,L646,-L648,-L650,L653,L659,-L662)</f>
        <v>7478280.8900000006</v>
      </c>
      <c r="M664" s="236">
        <f>+K664-L664</f>
        <v>164710.5</v>
      </c>
      <c r="N664" s="237">
        <f>IF(L664&lt;0,IF(M664=0,0,IF(OR(L664=0,K664=0),"N.M.",IF(ABS(M664/L664)&gt;=10,"N.M.",M664/(-L664)))),IF(M664=0,0,IF(OR(L664=0,K664=0),"N.M.",IF(ABS(M664/L664)&gt;=10,"N.M.",M664/L664))))</f>
        <v>2.2025182314327322E-2</v>
      </c>
      <c r="O664" s="148"/>
      <c r="P664" s="243"/>
      <c r="Q664" s="241">
        <f>SUM(Q638,Q643,Q646,-Q648,-Q650,Q653,Q659,-Q662)</f>
        <v>11605123.649999999</v>
      </c>
      <c r="R664" s="241">
        <f>SUM(R638,R643,R646,-R648,-R650,R653,R659,-R662)</f>
        <v>11201669.68</v>
      </c>
      <c r="S664" s="236">
        <f>+Q664-R664</f>
        <v>403453.96999999881</v>
      </c>
      <c r="T664" s="237">
        <f>IF(R664&lt;0,IF(S664=0,0,IF(OR(R664=0,Q664=0),"N.M.",IF(ABS(S664/R664)&gt;=10,"N.M.",S664/(-R664)))),IF(S664=0,0,IF(OR(R664=0,Q664=0),"N.M.",IF(ABS(S664/R664)&gt;=10,"N.M.",S664/R664))))</f>
        <v>3.6017306484259659E-2</v>
      </c>
      <c r="U664" s="243"/>
      <c r="V664" s="241">
        <f>SUM(V638,V643,V646,-V648,-V650,V653,V659,-V662)</f>
        <v>45979967.629999995</v>
      </c>
      <c r="W664" s="241">
        <f>SUM(W638,W643,W646,-W648,-W650,W653,W659,-W662)</f>
        <v>44677394.259999998</v>
      </c>
      <c r="X664" s="236">
        <f>+V664-W664</f>
        <v>1302573.3699999973</v>
      </c>
      <c r="Y664" s="232">
        <f>IF(W664&lt;0,IF(X664=0,0,IF(OR(W664=0,V664=0),"N.M.",IF(ABS(X664/W664)&gt;=10,"N.M.",X664/(-W664)))),IF(X664=0,0,IF(OR(W664=0,V664=0),"N.M.",IF(ABS(X664/W664)&gt;=10,"N.M.",X664/W664))))</f>
        <v>2.9155088195602332E-2</v>
      </c>
      <c r="AA664" s="241">
        <f>SUM(AA638,AA643,AA646,-AA648,-AA650,AA653,AA659,-AA662)</f>
        <v>3723388.7899999996</v>
      </c>
      <c r="AB664" s="245"/>
      <c r="AC664" s="241">
        <f t="shared" ref="AC664:AN664" si="198">SUM(AC638,AC643,AC646,-AC648,-AC650,AC653,AC659,-AC662)</f>
        <v>3752583.4100000006</v>
      </c>
      <c r="AD664" s="241">
        <f t="shared" si="198"/>
        <v>3725697.4800000004</v>
      </c>
      <c r="AE664" s="241">
        <f t="shared" si="198"/>
        <v>3766118.45</v>
      </c>
      <c r="AF664" s="241">
        <f t="shared" si="198"/>
        <v>3761787.2</v>
      </c>
      <c r="AG664" s="241">
        <f t="shared" si="198"/>
        <v>3762538.2699999996</v>
      </c>
      <c r="AH664" s="241">
        <f t="shared" si="198"/>
        <v>3531284.9099999997</v>
      </c>
      <c r="AI664" s="241">
        <f t="shared" si="198"/>
        <v>4098574.12</v>
      </c>
      <c r="AJ664" s="241">
        <f t="shared" si="198"/>
        <v>3982122.78</v>
      </c>
      <c r="AK664" s="241">
        <f t="shared" si="198"/>
        <v>3727419.3</v>
      </c>
      <c r="AL664" s="241">
        <f t="shared" si="198"/>
        <v>3854375.89</v>
      </c>
      <c r="AM664" s="241">
        <f t="shared" si="198"/>
        <v>3890623.0599999996</v>
      </c>
      <c r="AN664" s="241">
        <f t="shared" si="198"/>
        <v>3962132.2599999993</v>
      </c>
      <c r="AO664" s="245"/>
      <c r="AP664" s="241">
        <f t="shared" ref="AP664:BA664" si="199">SUM(AP638,AP643,AP646,-AP648,-AP650,AP653,AP659,-AP662)</f>
        <v>3852769.8000000003</v>
      </c>
      <c r="AQ664" s="241">
        <f t="shared" si="199"/>
        <v>3790221.5900000003</v>
      </c>
      <c r="AR664" s="241">
        <f t="shared" si="199"/>
        <v>-1631.3100000000013</v>
      </c>
      <c r="AS664" s="241">
        <f t="shared" si="199"/>
        <v>0</v>
      </c>
      <c r="AT664" s="241">
        <f t="shared" si="199"/>
        <v>0</v>
      </c>
      <c r="AU664" s="241">
        <f t="shared" si="199"/>
        <v>0</v>
      </c>
      <c r="AV664" s="241">
        <f t="shared" si="199"/>
        <v>0</v>
      </c>
      <c r="AW664" s="241">
        <f t="shared" si="199"/>
        <v>0</v>
      </c>
      <c r="AX664" s="241">
        <f t="shared" si="199"/>
        <v>0</v>
      </c>
      <c r="AY664" s="241">
        <f t="shared" si="199"/>
        <v>0</v>
      </c>
      <c r="AZ664" s="241">
        <f t="shared" si="199"/>
        <v>0</v>
      </c>
      <c r="BA664" s="241">
        <f t="shared" si="199"/>
        <v>0</v>
      </c>
    </row>
    <row r="665" spans="1:53" s="244" customFormat="1" x14ac:dyDescent="0.25">
      <c r="A665" s="211"/>
      <c r="B665" s="212" t="s">
        <v>1739</v>
      </c>
      <c r="C665" s="281" t="s">
        <v>1740</v>
      </c>
      <c r="D665" s="246"/>
      <c r="E665" s="246"/>
      <c r="F665" s="241">
        <f>+F529+F632-F664</f>
        <v>1202081.0220000087</v>
      </c>
      <c r="G665" s="241">
        <f>+G529+G632-G664</f>
        <v>5713902.887000002</v>
      </c>
      <c r="H665" s="236">
        <f>+F665-G665</f>
        <v>-4511821.8649999928</v>
      </c>
      <c r="I665" s="237">
        <f>IF(G665&lt;0,IF(H665=0,0,IF(OR(G665=0,F665=0),"N.M.",IF(ABS(H665/G665)&gt;=10,"N.M.",H665/(-G665)))),IF(H665=0,0,IF(OR(G665=0,F665=0),"N.M.",IF(ABS(H665/G665)&gt;=10,"N.M.",H665/G665))))</f>
        <v>-0.7896217269049276</v>
      </c>
      <c r="J665" s="242"/>
      <c r="K665" s="241">
        <f>+K529+K632-K664</f>
        <v>6354664.6379999835</v>
      </c>
      <c r="L665" s="241">
        <f>+L529+L632-L664</f>
        <v>17641283.333000004</v>
      </c>
      <c r="M665" s="236">
        <f>+K665-L665</f>
        <v>-11286618.695000021</v>
      </c>
      <c r="N665" s="237">
        <f>IF(L665&lt;0,IF(M665=0,0,IF(OR(L665=0,K665=0),"N.M.",IF(ABS(M665/L665)&gt;=10,"N.M.",M665/(-L665)))),IF(M665=0,0,IF(OR(L665=0,K665=0),"N.M.",IF(ABS(M665/L665)&gt;=10,"N.M.",M665/L665))))</f>
        <v>-0.63978444662736811</v>
      </c>
      <c r="O665" s="148"/>
      <c r="P665" s="243"/>
      <c r="Q665" s="241">
        <f>+Q529+Q632-Q664</f>
        <v>8461028.7360000014</v>
      </c>
      <c r="R665" s="241">
        <f>+R529+R632-R664</f>
        <v>18075780.337999925</v>
      </c>
      <c r="S665" s="236">
        <f>+Q665-R665</f>
        <v>-9614751.6019999236</v>
      </c>
      <c r="T665" s="237">
        <f>IF(R665&lt;0,IF(S665=0,0,IF(OR(R665=0,Q665=0),"N.M.",IF(ABS(S665/R665)&gt;=10,"N.M.",S665/(-R665)))),IF(S665=0,0,IF(OR(R665=0,Q665=0),"N.M.",IF(ABS(S665/R665)&gt;=10,"N.M.",S665/R665))))</f>
        <v>-0.53191350095062007</v>
      </c>
      <c r="U665" s="243"/>
      <c r="V665" s="241">
        <f>+V529+V632-V664</f>
        <v>38923716.456000105</v>
      </c>
      <c r="W665" s="241">
        <f>+W529+W632-W664</f>
        <v>34271562.140999742</v>
      </c>
      <c r="X665" s="236">
        <f>+V665-W665</f>
        <v>4652154.3150003627</v>
      </c>
      <c r="Y665" s="232">
        <f>IF(W665&lt;0,IF(X665=0,0,IF(OR(W665=0,V665=0),"N.M.",IF(ABS(X665/W665)&gt;=10,"N.M.",X665/(-W665)))),IF(X665=0,0,IF(OR(W665=0,V665=0),"N.M.",IF(ABS(X665/W665)&gt;=10,"N.M.",X665/W665))))</f>
        <v>0.13574386530326552</v>
      </c>
      <c r="AA665" s="241">
        <f>+AA529+AA632-AA664</f>
        <v>434497.00500000268</v>
      </c>
      <c r="AB665" s="245"/>
      <c r="AC665" s="241">
        <f t="shared" ref="AC665:AN665" si="200">+AC529+AC632-AC664</f>
        <v>11927380.446000017</v>
      </c>
      <c r="AD665" s="241">
        <f t="shared" si="200"/>
        <v>5713902.887000002</v>
      </c>
      <c r="AE665" s="241">
        <f t="shared" si="200"/>
        <v>2162035.5039999979</v>
      </c>
      <c r="AF665" s="241">
        <f t="shared" si="200"/>
        <v>3114487.4040000159</v>
      </c>
      <c r="AG665" s="241">
        <f t="shared" si="200"/>
        <v>3255907.421000001</v>
      </c>
      <c r="AH665" s="241">
        <f t="shared" si="200"/>
        <v>2516174.4150000182</v>
      </c>
      <c r="AI665" s="241">
        <f t="shared" si="200"/>
        <v>4962627.63799999</v>
      </c>
      <c r="AJ665" s="241">
        <f t="shared" si="200"/>
        <v>8009505.2559999973</v>
      </c>
      <c r="AK665" s="241">
        <f t="shared" si="200"/>
        <v>-1487160.2900000019</v>
      </c>
      <c r="AL665" s="241">
        <f t="shared" si="200"/>
        <v>769896.01199999591</v>
      </c>
      <c r="AM665" s="241">
        <f t="shared" si="200"/>
        <v>7159214.3599999873</v>
      </c>
      <c r="AN665" s="241">
        <f t="shared" si="200"/>
        <v>2106364.0980000109</v>
      </c>
      <c r="AO665" s="245"/>
      <c r="AP665" s="241">
        <f t="shared" ref="AP665:BA665" si="201">+AP529+AP632-AP664</f>
        <v>5152583.6160000116</v>
      </c>
      <c r="AQ665" s="241">
        <f t="shared" si="201"/>
        <v>1202081.0220000087</v>
      </c>
      <c r="AR665" s="241">
        <f t="shared" si="201"/>
        <v>5233209.2569999984</v>
      </c>
      <c r="AS665" s="241">
        <f t="shared" si="201"/>
        <v>-1238069.97</v>
      </c>
      <c r="AT665" s="241">
        <f t="shared" si="201"/>
        <v>0</v>
      </c>
      <c r="AU665" s="241">
        <f t="shared" si="201"/>
        <v>0</v>
      </c>
      <c r="AV665" s="241">
        <f t="shared" si="201"/>
        <v>0</v>
      </c>
      <c r="AW665" s="241">
        <f t="shared" si="201"/>
        <v>0</v>
      </c>
      <c r="AX665" s="241">
        <f t="shared" si="201"/>
        <v>0</v>
      </c>
      <c r="AY665" s="241">
        <f t="shared" si="201"/>
        <v>0</v>
      </c>
      <c r="AZ665" s="241">
        <f t="shared" si="201"/>
        <v>0</v>
      </c>
      <c r="BA665" s="241">
        <f t="shared" si="201"/>
        <v>0</v>
      </c>
    </row>
    <row r="666" spans="1:53" s="211" customFormat="1" x14ac:dyDescent="0.25">
      <c r="B666" s="212" t="s">
        <v>1741</v>
      </c>
      <c r="C666" s="222" t="s">
        <v>1742</v>
      </c>
      <c r="D666" s="223"/>
      <c r="E666" s="223"/>
      <c r="F666" s="224"/>
      <c r="G666" s="224"/>
      <c r="H666" s="224"/>
      <c r="I666" s="224"/>
      <c r="J666" s="225"/>
      <c r="K666" s="226"/>
      <c r="L666" s="226"/>
      <c r="M666" s="226"/>
      <c r="N666" s="227"/>
      <c r="O666" s="224"/>
      <c r="P666" s="225"/>
      <c r="Q666" s="224"/>
      <c r="R666" s="224"/>
      <c r="S666" s="224"/>
      <c r="T666" s="224"/>
      <c r="U666" s="225"/>
      <c r="V666" s="224"/>
      <c r="W666" s="224"/>
      <c r="X666" s="224"/>
      <c r="Y666" s="224"/>
      <c r="Z666" s="224"/>
      <c r="AA666" s="226"/>
      <c r="AB666" s="228"/>
      <c r="AC666" s="226"/>
      <c r="AD666" s="226"/>
      <c r="AE666" s="226"/>
      <c r="AF666" s="226"/>
      <c r="AG666" s="226"/>
      <c r="AH666" s="226"/>
      <c r="AI666" s="226"/>
      <c r="AJ666" s="226"/>
      <c r="AK666" s="226"/>
      <c r="AL666" s="226"/>
      <c r="AM666" s="226"/>
      <c r="AN666" s="226"/>
      <c r="AO666" s="228"/>
      <c r="AP666" s="226"/>
      <c r="AQ666" s="226"/>
      <c r="AR666" s="226"/>
      <c r="AS666" s="226"/>
      <c r="AT666" s="226"/>
      <c r="AU666" s="226"/>
      <c r="AV666" s="226"/>
      <c r="AW666" s="226"/>
      <c r="AX666" s="226"/>
      <c r="AY666" s="226"/>
      <c r="AZ666" s="226"/>
      <c r="BA666" s="226"/>
    </row>
    <row r="667" spans="1:53" s="244" customFormat="1" ht="0.75" customHeight="1" outlineLevel="2" x14ac:dyDescent="0.25">
      <c r="A667" s="211"/>
      <c r="B667" s="212"/>
      <c r="C667" s="238"/>
      <c r="D667" s="246"/>
      <c r="E667" s="246"/>
      <c r="F667" s="215"/>
      <c r="G667" s="215"/>
      <c r="H667" s="236"/>
      <c r="I667" s="237"/>
      <c r="J667" s="242"/>
      <c r="K667" s="215"/>
      <c r="L667" s="215"/>
      <c r="M667" s="236"/>
      <c r="N667" s="237"/>
      <c r="O667" s="282"/>
      <c r="P667" s="283"/>
      <c r="Q667" s="215"/>
      <c r="R667" s="215"/>
      <c r="S667" s="236"/>
      <c r="T667" s="237"/>
      <c r="U667" s="283"/>
      <c r="V667" s="215"/>
      <c r="W667" s="215"/>
      <c r="X667" s="236"/>
      <c r="Y667" s="232"/>
      <c r="AA667" s="215"/>
      <c r="AB667" s="245"/>
      <c r="AC667" s="215"/>
      <c r="AD667" s="215"/>
      <c r="AE667" s="215"/>
      <c r="AF667" s="215"/>
      <c r="AG667" s="215"/>
      <c r="AH667" s="215"/>
      <c r="AI667" s="215"/>
      <c r="AJ667" s="215"/>
      <c r="AK667" s="215"/>
      <c r="AL667" s="215"/>
      <c r="AM667" s="215"/>
      <c r="AN667" s="215"/>
      <c r="AO667" s="245"/>
      <c r="AP667" s="215"/>
      <c r="AQ667" s="215"/>
      <c r="AR667" s="215"/>
      <c r="AS667" s="215"/>
      <c r="AT667" s="215"/>
      <c r="AU667" s="215"/>
      <c r="AV667" s="215"/>
      <c r="AW667" s="215"/>
      <c r="AX667" s="215"/>
      <c r="AY667" s="215"/>
      <c r="AZ667" s="215"/>
      <c r="BA667" s="215"/>
    </row>
    <row r="668" spans="1:53" s="244" customFormat="1" x14ac:dyDescent="0.25">
      <c r="A668" s="211" t="s">
        <v>1743</v>
      </c>
      <c r="B668" s="211" t="s">
        <v>1744</v>
      </c>
      <c r="C668" s="238" t="s">
        <v>1745</v>
      </c>
      <c r="D668" s="246"/>
      <c r="E668" s="246"/>
      <c r="F668" s="215">
        <v>0</v>
      </c>
      <c r="G668" s="215">
        <v>0</v>
      </c>
      <c r="H668" s="236">
        <f>+F668-G668</f>
        <v>0</v>
      </c>
      <c r="I668" s="237">
        <f>IF(G668&lt;0,IF(H668=0,0,IF(OR(G668=0,F668=0),"N.M.",IF(ABS(H668/G668)&gt;=10,"N.M.",H668/(-G668)))),IF(H668=0,0,IF(OR(G668=0,F668=0),"N.M.",IF(ABS(H668/G668)&gt;=10,"N.M.",H668/G668))))</f>
        <v>0</v>
      </c>
      <c r="J668" s="242"/>
      <c r="K668" s="215">
        <v>0</v>
      </c>
      <c r="L668" s="215">
        <v>0</v>
      </c>
      <c r="M668" s="236">
        <f>+K668-L668</f>
        <v>0</v>
      </c>
      <c r="N668" s="237">
        <f>IF(L668&lt;0,IF(M668=0,0,IF(OR(L668=0,K668=0),"N.M.",IF(ABS(M668/L668)&gt;=10,"N.M.",M668/(-L668)))),IF(M668=0,0,IF(OR(L668=0,K668=0),"N.M.",IF(ABS(M668/L668)&gt;=10,"N.M.",M668/L668))))</f>
        <v>0</v>
      </c>
      <c r="O668" s="282"/>
      <c r="P668" s="283"/>
      <c r="Q668" s="215">
        <v>0</v>
      </c>
      <c r="R668" s="215">
        <v>0</v>
      </c>
      <c r="S668" s="236">
        <f>+Q668-R668</f>
        <v>0</v>
      </c>
      <c r="T668" s="237">
        <f>IF(R668&lt;0,IF(S668=0,0,IF(OR(R668=0,Q668=0),"N.M.",IF(ABS(S668/R668)&gt;=10,"N.M.",S668/(-R668)))),IF(S668=0,0,IF(OR(R668=0,Q668=0),"N.M.",IF(ABS(S668/R668)&gt;=10,"N.M.",S668/R668))))</f>
        <v>0</v>
      </c>
      <c r="U668" s="283"/>
      <c r="V668" s="215">
        <v>0</v>
      </c>
      <c r="W668" s="215">
        <v>0</v>
      </c>
      <c r="X668" s="236">
        <f>+V668-W668</f>
        <v>0</v>
      </c>
      <c r="Y668" s="232">
        <f>IF(W668&lt;0,IF(X668=0,0,IF(OR(W668=0,V668=0),"N.M.",IF(ABS(X668/W668)&gt;=10,"N.M.",X668/(-W668)))),IF(X668=0,0,IF(OR(W668=0,V668=0),"N.M.",IF(ABS(X668/W668)&gt;=10,"N.M.",X668/W668))))</f>
        <v>0</v>
      </c>
      <c r="AA668" s="215">
        <v>0</v>
      </c>
      <c r="AB668" s="245"/>
      <c r="AC668" s="215">
        <v>0</v>
      </c>
      <c r="AD668" s="215">
        <v>0</v>
      </c>
      <c r="AE668" s="215">
        <v>0</v>
      </c>
      <c r="AF668" s="215">
        <v>0</v>
      </c>
      <c r="AG668" s="215">
        <v>0</v>
      </c>
      <c r="AH668" s="215">
        <v>0</v>
      </c>
      <c r="AI668" s="215">
        <v>0</v>
      </c>
      <c r="AJ668" s="215">
        <v>0</v>
      </c>
      <c r="AK668" s="215">
        <v>0</v>
      </c>
      <c r="AL668" s="215">
        <v>0</v>
      </c>
      <c r="AM668" s="215">
        <v>0</v>
      </c>
      <c r="AN668" s="215">
        <v>0</v>
      </c>
      <c r="AO668" s="245"/>
      <c r="AP668" s="215">
        <v>0</v>
      </c>
      <c r="AQ668" s="215">
        <v>0</v>
      </c>
      <c r="AR668" s="215">
        <v>0</v>
      </c>
      <c r="AS668" s="215">
        <v>0</v>
      </c>
      <c r="AT668" s="215">
        <v>0</v>
      </c>
      <c r="AU668" s="215">
        <v>0</v>
      </c>
      <c r="AV668" s="215">
        <v>0</v>
      </c>
      <c r="AW668" s="215">
        <v>0</v>
      </c>
      <c r="AX668" s="215">
        <v>0</v>
      </c>
      <c r="AY668" s="215">
        <v>0</v>
      </c>
      <c r="AZ668" s="215">
        <v>0</v>
      </c>
      <c r="BA668" s="215">
        <v>0</v>
      </c>
    </row>
    <row r="669" spans="1:53" s="244" customFormat="1" ht="0.75" customHeight="1" outlineLevel="2" x14ac:dyDescent="0.25">
      <c r="A669" s="211"/>
      <c r="B669" s="212"/>
      <c r="C669" s="238"/>
      <c r="D669" s="246"/>
      <c r="E669" s="246"/>
      <c r="F669" s="215"/>
      <c r="G669" s="215"/>
      <c r="H669" s="236"/>
      <c r="I669" s="237"/>
      <c r="J669" s="242"/>
      <c r="K669" s="215"/>
      <c r="L669" s="215"/>
      <c r="M669" s="236"/>
      <c r="N669" s="237"/>
      <c r="O669" s="282"/>
      <c r="P669" s="283"/>
      <c r="Q669" s="215"/>
      <c r="R669" s="215"/>
      <c r="S669" s="236"/>
      <c r="T669" s="237"/>
      <c r="U669" s="283"/>
      <c r="V669" s="215"/>
      <c r="W669" s="215"/>
      <c r="X669" s="236"/>
      <c r="Y669" s="232"/>
      <c r="AA669" s="215"/>
      <c r="AB669" s="245"/>
      <c r="AC669" s="215"/>
      <c r="AD669" s="215"/>
      <c r="AE669" s="215"/>
      <c r="AF669" s="215"/>
      <c r="AG669" s="215"/>
      <c r="AH669" s="215"/>
      <c r="AI669" s="215"/>
      <c r="AJ669" s="215"/>
      <c r="AK669" s="215"/>
      <c r="AL669" s="215"/>
      <c r="AM669" s="215"/>
      <c r="AN669" s="215"/>
      <c r="AO669" s="245"/>
      <c r="AP669" s="215"/>
      <c r="AQ669" s="215"/>
      <c r="AR669" s="215"/>
      <c r="AS669" s="215"/>
      <c r="AT669" s="215"/>
      <c r="AU669" s="215"/>
      <c r="AV669" s="215"/>
      <c r="AW669" s="215"/>
      <c r="AX669" s="215"/>
      <c r="AY669" s="215"/>
      <c r="AZ669" s="215"/>
      <c r="BA669" s="215"/>
    </row>
    <row r="670" spans="1:53" s="273" customFormat="1" x14ac:dyDescent="0.25">
      <c r="A670" s="295" t="s">
        <v>1746</v>
      </c>
      <c r="B670" s="212" t="s">
        <v>1747</v>
      </c>
      <c r="C670" s="264" t="s">
        <v>1748</v>
      </c>
      <c r="D670" s="265"/>
      <c r="E670" s="265"/>
      <c r="F670" s="296">
        <v>0</v>
      </c>
      <c r="G670" s="296">
        <v>0</v>
      </c>
      <c r="H670" s="267">
        <f>+F670-G670</f>
        <v>0</v>
      </c>
      <c r="I670" s="268">
        <f>IF(G670&lt;0,IF(H670=0,0,IF(OR(G670=0,F670=0),"N.M.",IF(ABS(H670/G670)&gt;=10,"N.M.",H670/(-G670)))),IF(H670=0,0,IF(OR(G670=0,F670=0),"N.M.",IF(ABS(H670/G670)&gt;=10,"N.M.",H670/G670))))</f>
        <v>0</v>
      </c>
      <c r="J670" s="269"/>
      <c r="K670" s="296">
        <v>0</v>
      </c>
      <c r="L670" s="296">
        <v>0</v>
      </c>
      <c r="M670" s="267">
        <f>+K670-L670</f>
        <v>0</v>
      </c>
      <c r="N670" s="268">
        <f>IF(L670&lt;0,IF(M670=0,0,IF(OR(L670=0,K670=0),"N.M.",IF(ABS(M670/L670)&gt;=10,"N.M.",M670/(-L670)))),IF(M670=0,0,IF(OR(L670=0,K670=0),"N.M.",IF(ABS(M670/L670)&gt;=10,"N.M.",M670/L670))))</f>
        <v>0</v>
      </c>
      <c r="O670" s="297"/>
      <c r="P670" s="298"/>
      <c r="Q670" s="296">
        <v>0</v>
      </c>
      <c r="R670" s="296">
        <v>0</v>
      </c>
      <c r="S670" s="267">
        <f>+Q670-R670</f>
        <v>0</v>
      </c>
      <c r="T670" s="268">
        <f>IF(R670&lt;0,IF(S670=0,0,IF(OR(R670=0,Q670=0),"N.M.",IF(ABS(S670/R670)&gt;=10,"N.M.",S670/(-R670)))),IF(S670=0,0,IF(OR(R670=0,Q670=0),"N.M.",IF(ABS(S670/R670)&gt;=10,"N.M.",S670/R670))))</f>
        <v>0</v>
      </c>
      <c r="U670" s="298"/>
      <c r="V670" s="296">
        <v>0</v>
      </c>
      <c r="W670" s="296">
        <v>0</v>
      </c>
      <c r="X670" s="267">
        <f>+V670-W670</f>
        <v>0</v>
      </c>
      <c r="Y670" s="272">
        <f>IF(W670&lt;0,IF(X670=0,0,IF(OR(W670=0,V670=0),"N.M.",IF(ABS(X670/W670)&gt;=10,"N.M.",X670/(-W670)))),IF(X670=0,0,IF(OR(W670=0,V670=0),"N.M.",IF(ABS(X670/W670)&gt;=10,"N.M.",X670/W670))))</f>
        <v>0</v>
      </c>
      <c r="AA670" s="296">
        <v>0</v>
      </c>
      <c r="AB670" s="274"/>
      <c r="AC670" s="296">
        <v>0</v>
      </c>
      <c r="AD670" s="296">
        <v>0</v>
      </c>
      <c r="AE670" s="296">
        <v>0</v>
      </c>
      <c r="AF670" s="296">
        <v>0</v>
      </c>
      <c r="AG670" s="296">
        <v>0</v>
      </c>
      <c r="AH670" s="296">
        <v>0</v>
      </c>
      <c r="AI670" s="296">
        <v>0</v>
      </c>
      <c r="AJ670" s="296">
        <v>0</v>
      </c>
      <c r="AK670" s="296">
        <v>0</v>
      </c>
      <c r="AL670" s="296">
        <v>0</v>
      </c>
      <c r="AM670" s="296">
        <v>0</v>
      </c>
      <c r="AN670" s="296">
        <v>0</v>
      </c>
      <c r="AO670" s="274"/>
      <c r="AP670" s="296">
        <v>0</v>
      </c>
      <c r="AQ670" s="296">
        <v>0</v>
      </c>
      <c r="AR670" s="296">
        <v>0</v>
      </c>
      <c r="AS670" s="296">
        <v>0</v>
      </c>
      <c r="AT670" s="296">
        <v>0</v>
      </c>
      <c r="AU670" s="296">
        <v>0</v>
      </c>
      <c r="AV670" s="296">
        <v>0</v>
      </c>
      <c r="AW670" s="296">
        <v>0</v>
      </c>
      <c r="AX670" s="296">
        <v>0</v>
      </c>
      <c r="AY670" s="296">
        <v>0</v>
      </c>
      <c r="AZ670" s="296">
        <v>0</v>
      </c>
      <c r="BA670" s="296">
        <v>0</v>
      </c>
    </row>
    <row r="671" spans="1:53" s="244" customFormat="1" ht="0.75" customHeight="1" outlineLevel="2" x14ac:dyDescent="0.25">
      <c r="A671" s="211"/>
      <c r="B671" s="212"/>
      <c r="C671" s="238"/>
      <c r="D671" s="246"/>
      <c r="E671" s="246"/>
      <c r="F671" s="215"/>
      <c r="G671" s="215"/>
      <c r="H671" s="236"/>
      <c r="I671" s="237"/>
      <c r="J671" s="242"/>
      <c r="K671" s="215"/>
      <c r="L671" s="215"/>
      <c r="M671" s="236"/>
      <c r="N671" s="237"/>
      <c r="O671" s="282"/>
      <c r="P671" s="283"/>
      <c r="Q671" s="215"/>
      <c r="R671" s="215"/>
      <c r="S671" s="236"/>
      <c r="T671" s="237"/>
      <c r="U671" s="283"/>
      <c r="V671" s="215"/>
      <c r="W671" s="215"/>
      <c r="X671" s="236"/>
      <c r="Y671" s="232"/>
      <c r="AA671" s="215"/>
      <c r="AB671" s="245"/>
      <c r="AC671" s="215"/>
      <c r="AD671" s="215"/>
      <c r="AE671" s="215"/>
      <c r="AF671" s="215"/>
      <c r="AG671" s="215"/>
      <c r="AH671" s="215"/>
      <c r="AI671" s="215"/>
      <c r="AJ671" s="215"/>
      <c r="AK671" s="215"/>
      <c r="AL671" s="215"/>
      <c r="AM671" s="215"/>
      <c r="AN671" s="215"/>
      <c r="AO671" s="245"/>
      <c r="AP671" s="215"/>
      <c r="AQ671" s="215"/>
      <c r="AR671" s="215"/>
      <c r="AS671" s="215"/>
      <c r="AT671" s="215"/>
      <c r="AU671" s="215"/>
      <c r="AV671" s="215"/>
      <c r="AW671" s="215"/>
      <c r="AX671" s="215"/>
      <c r="AY671" s="215"/>
      <c r="AZ671" s="215"/>
      <c r="BA671" s="215"/>
    </row>
    <row r="672" spans="1:53" s="244" customFormat="1" x14ac:dyDescent="0.25">
      <c r="A672" s="211"/>
      <c r="B672" s="212" t="s">
        <v>1749</v>
      </c>
      <c r="C672" s="275" t="s">
        <v>1750</v>
      </c>
      <c r="D672" s="276"/>
      <c r="E672" s="276"/>
      <c r="F672" s="277">
        <f>+F668-F670</f>
        <v>0</v>
      </c>
      <c r="G672" s="277">
        <f>+G668-G670</f>
        <v>0</v>
      </c>
      <c r="H672" s="278">
        <f>+F672-G672</f>
        <v>0</v>
      </c>
      <c r="I672" s="279">
        <f>IF(G672&lt;0,IF(H672=0,0,IF(OR(G672=0,F672=0),"N.M.",IF(ABS(H672/G672)&gt;=10,"N.M.",H672/(-G672)))),IF(H672=0,0,IF(OR(G672=0,F672=0),"N.M.",IF(ABS(H672/G672)&gt;=10,"N.M.",H672/G672))))</f>
        <v>0</v>
      </c>
      <c r="J672" s="242"/>
      <c r="K672" s="277">
        <f>+K668-K670</f>
        <v>0</v>
      </c>
      <c r="L672" s="277">
        <f>+L668-L670</f>
        <v>0</v>
      </c>
      <c r="M672" s="278">
        <f>+K672-L672</f>
        <v>0</v>
      </c>
      <c r="N672" s="279">
        <f>IF(L672&lt;0,IF(M672=0,0,IF(OR(L672=0,K672=0),"N.M.",IF(ABS(M672/L672)&gt;=10,"N.M.",M672/(-L672)))),IF(M672=0,0,IF(OR(L672=0,K672=0),"N.M.",IF(ABS(M672/L672)&gt;=10,"N.M.",M672/L672))))</f>
        <v>0</v>
      </c>
      <c r="O672" s="181"/>
      <c r="P672" s="263"/>
      <c r="Q672" s="277">
        <f>+Q668-Q670</f>
        <v>0</v>
      </c>
      <c r="R672" s="277">
        <f>+R668-R670</f>
        <v>0</v>
      </c>
      <c r="S672" s="278">
        <f>+Q672-R672</f>
        <v>0</v>
      </c>
      <c r="T672" s="279">
        <f>IF(R672&lt;0,IF(S672=0,0,IF(OR(R672=0,Q672=0),"N.M.",IF(ABS(S672/R672)&gt;=10,"N.M.",S672/(-R672)))),IF(S672=0,0,IF(OR(R672=0,Q672=0),"N.M.",IF(ABS(S672/R672)&gt;=10,"N.M.",S672/R672))))</f>
        <v>0</v>
      </c>
      <c r="U672" s="263"/>
      <c r="V672" s="277">
        <f>+V668-V670</f>
        <v>0</v>
      </c>
      <c r="W672" s="277">
        <f>+W668-W670</f>
        <v>0</v>
      </c>
      <c r="X672" s="278">
        <f>+V672-W672</f>
        <v>0</v>
      </c>
      <c r="Y672" s="280">
        <f>IF(W672&lt;0,IF(X672=0,0,IF(OR(W672=0,V672=0),"N.M.",IF(ABS(X672/W672)&gt;=10,"N.M.",X672/(-W672)))),IF(X672=0,0,IF(OR(W672=0,V672=0),"N.M.",IF(ABS(X672/W672)&gt;=10,"N.M.",X672/W672))))</f>
        <v>0</v>
      </c>
      <c r="AA672" s="277">
        <f>+AA668-AA670</f>
        <v>0</v>
      </c>
      <c r="AB672" s="245"/>
      <c r="AC672" s="277">
        <f t="shared" ref="AC672:AN672" si="202">+AC668-AC670</f>
        <v>0</v>
      </c>
      <c r="AD672" s="277">
        <f t="shared" si="202"/>
        <v>0</v>
      </c>
      <c r="AE672" s="277">
        <f t="shared" si="202"/>
        <v>0</v>
      </c>
      <c r="AF672" s="277">
        <f t="shared" si="202"/>
        <v>0</v>
      </c>
      <c r="AG672" s="277">
        <f t="shared" si="202"/>
        <v>0</v>
      </c>
      <c r="AH672" s="277">
        <f t="shared" si="202"/>
        <v>0</v>
      </c>
      <c r="AI672" s="277">
        <f t="shared" si="202"/>
        <v>0</v>
      </c>
      <c r="AJ672" s="277">
        <f t="shared" si="202"/>
        <v>0</v>
      </c>
      <c r="AK672" s="277">
        <f t="shared" si="202"/>
        <v>0</v>
      </c>
      <c r="AL672" s="277">
        <f t="shared" si="202"/>
        <v>0</v>
      </c>
      <c r="AM672" s="277">
        <f t="shared" si="202"/>
        <v>0</v>
      </c>
      <c r="AN672" s="277">
        <f t="shared" si="202"/>
        <v>0</v>
      </c>
      <c r="AO672" s="245"/>
      <c r="AP672" s="277">
        <f t="shared" ref="AP672:BA672" si="203">+AP668-AP670</f>
        <v>0</v>
      </c>
      <c r="AQ672" s="277">
        <f t="shared" si="203"/>
        <v>0</v>
      </c>
      <c r="AR672" s="277">
        <f t="shared" si="203"/>
        <v>0</v>
      </c>
      <c r="AS672" s="277">
        <f t="shared" si="203"/>
        <v>0</v>
      </c>
      <c r="AT672" s="277">
        <f t="shared" si="203"/>
        <v>0</v>
      </c>
      <c r="AU672" s="277">
        <f t="shared" si="203"/>
        <v>0</v>
      </c>
      <c r="AV672" s="277">
        <f t="shared" si="203"/>
        <v>0</v>
      </c>
      <c r="AW672" s="277">
        <f t="shared" si="203"/>
        <v>0</v>
      </c>
      <c r="AX672" s="277">
        <f t="shared" si="203"/>
        <v>0</v>
      </c>
      <c r="AY672" s="277">
        <f t="shared" si="203"/>
        <v>0</v>
      </c>
      <c r="AZ672" s="277">
        <f t="shared" si="203"/>
        <v>0</v>
      </c>
      <c r="BA672" s="277">
        <f t="shared" si="203"/>
        <v>0</v>
      </c>
    </row>
    <row r="673" spans="1:53" s="244" customFormat="1" ht="0.75" customHeight="1" outlineLevel="2" x14ac:dyDescent="0.25">
      <c r="A673" s="211"/>
      <c r="B673" s="212"/>
      <c r="C673" s="239"/>
      <c r="D673" s="246"/>
      <c r="E673" s="246"/>
      <c r="F673" s="241"/>
      <c r="G673" s="241"/>
      <c r="H673" s="236"/>
      <c r="I673" s="237"/>
      <c r="J673" s="242"/>
      <c r="K673" s="241"/>
      <c r="L673" s="241"/>
      <c r="M673" s="236"/>
      <c r="N673" s="237"/>
      <c r="O673" s="282"/>
      <c r="P673" s="283"/>
      <c r="Q673" s="241"/>
      <c r="R673" s="241"/>
      <c r="S673" s="236"/>
      <c r="T673" s="237"/>
      <c r="U673" s="283"/>
      <c r="V673" s="241"/>
      <c r="W673" s="241"/>
      <c r="X673" s="236"/>
      <c r="Y673" s="232"/>
      <c r="AA673" s="241"/>
      <c r="AB673" s="245"/>
      <c r="AC673" s="241"/>
      <c r="AD673" s="241"/>
      <c r="AE673" s="241"/>
      <c r="AF673" s="241"/>
      <c r="AG673" s="241"/>
      <c r="AH673" s="241"/>
      <c r="AI673" s="241"/>
      <c r="AJ673" s="241"/>
      <c r="AK673" s="241"/>
      <c r="AL673" s="241"/>
      <c r="AM673" s="241"/>
      <c r="AN673" s="241"/>
      <c r="AO673" s="245"/>
      <c r="AP673" s="241"/>
      <c r="AQ673" s="241"/>
      <c r="AR673" s="241"/>
      <c r="AS673" s="241"/>
      <c r="AT673" s="241"/>
      <c r="AU673" s="241"/>
      <c r="AV673" s="241"/>
      <c r="AW673" s="241"/>
      <c r="AX673" s="241"/>
      <c r="AY673" s="241"/>
      <c r="AZ673" s="241"/>
      <c r="BA673" s="241"/>
    </row>
    <row r="674" spans="1:53" s="244" customFormat="1" x14ac:dyDescent="0.25">
      <c r="A674" s="211" t="s">
        <v>1751</v>
      </c>
      <c r="B674" s="212" t="s">
        <v>1752</v>
      </c>
      <c r="C674" s="299" t="s">
        <v>1753</v>
      </c>
      <c r="D674" s="265"/>
      <c r="E674" s="265"/>
      <c r="F674" s="266">
        <v>0</v>
      </c>
      <c r="G674" s="266">
        <v>0</v>
      </c>
      <c r="H674" s="267">
        <f>+F674-G674</f>
        <v>0</v>
      </c>
      <c r="I674" s="268">
        <f>IF(G674&lt;0,IF(H674=0,0,IF(OR(G674=0,F674=0),"N.M.",IF(ABS(H674/G674)&gt;=10,"N.M.",H674/(-G674)))),IF(H674=0,0,IF(OR(G674=0,F674=0),"N.M.",IF(ABS(H674/G674)&gt;=10,"N.M.",H674/G674))))</f>
        <v>0</v>
      </c>
      <c r="J674" s="269"/>
      <c r="K674" s="266">
        <v>0</v>
      </c>
      <c r="L674" s="266">
        <v>0</v>
      </c>
      <c r="M674" s="267">
        <f>+K674-L674</f>
        <v>0</v>
      </c>
      <c r="N674" s="268">
        <f>IF(L674&lt;0,IF(M674=0,0,IF(OR(L674=0,K674=0),"N.M.",IF(ABS(M674/L674)&gt;=10,"N.M.",M674/(-L674)))),IF(M674=0,0,IF(OR(L674=0,K674=0),"N.M.",IF(ABS(M674/L674)&gt;=10,"N.M.",M674/L674))))</f>
        <v>0</v>
      </c>
      <c r="O674" s="297"/>
      <c r="P674" s="298"/>
      <c r="Q674" s="266">
        <v>0</v>
      </c>
      <c r="R674" s="266">
        <v>0</v>
      </c>
      <c r="S674" s="267">
        <f>+Q674-R674</f>
        <v>0</v>
      </c>
      <c r="T674" s="268">
        <f>IF(R674&lt;0,IF(S674=0,0,IF(OR(R674=0,Q674=0),"N.M.",IF(ABS(S674/R674)&gt;=10,"N.M.",S674/(-R674)))),IF(S674=0,0,IF(OR(R674=0,Q674=0),"N.M.",IF(ABS(S674/R674)&gt;=10,"N.M.",S674/R674))))</f>
        <v>0</v>
      </c>
      <c r="U674" s="298"/>
      <c r="V674" s="266">
        <v>0</v>
      </c>
      <c r="W674" s="266">
        <v>0</v>
      </c>
      <c r="X674" s="267">
        <f>+V674-W674</f>
        <v>0</v>
      </c>
      <c r="Y674" s="272">
        <f>IF(W674&lt;0,IF(X674=0,0,IF(OR(W674=0,V674=0),"N.M.",IF(ABS(X674/W674)&gt;=10,"N.M.",X674/(-W674)))),IF(X674=0,0,IF(OR(W674=0,V674=0),"N.M.",IF(ABS(X674/W674)&gt;=10,"N.M.",X674/W674))))</f>
        <v>0</v>
      </c>
      <c r="Z674" s="273"/>
      <c r="AA674" s="266">
        <v>0</v>
      </c>
      <c r="AB674" s="274"/>
      <c r="AC674" s="266">
        <v>0</v>
      </c>
      <c r="AD674" s="266">
        <v>0</v>
      </c>
      <c r="AE674" s="266">
        <v>0</v>
      </c>
      <c r="AF674" s="266">
        <v>0</v>
      </c>
      <c r="AG674" s="266">
        <v>0</v>
      </c>
      <c r="AH674" s="266">
        <v>0</v>
      </c>
      <c r="AI674" s="266">
        <v>0</v>
      </c>
      <c r="AJ674" s="266">
        <v>0</v>
      </c>
      <c r="AK674" s="266">
        <v>0</v>
      </c>
      <c r="AL674" s="266">
        <v>0</v>
      </c>
      <c r="AM674" s="266">
        <v>0</v>
      </c>
      <c r="AN674" s="266">
        <v>0</v>
      </c>
      <c r="AO674" s="274"/>
      <c r="AP674" s="266">
        <v>0</v>
      </c>
      <c r="AQ674" s="266">
        <v>0</v>
      </c>
      <c r="AR674" s="266">
        <v>0</v>
      </c>
      <c r="AS674" s="266">
        <v>0</v>
      </c>
      <c r="AT674" s="266">
        <v>0</v>
      </c>
      <c r="AU674" s="266">
        <v>0</v>
      </c>
      <c r="AV674" s="266">
        <v>0</v>
      </c>
      <c r="AW674" s="266">
        <v>0</v>
      </c>
      <c r="AX674" s="266">
        <v>0</v>
      </c>
      <c r="AY674" s="266">
        <v>0</v>
      </c>
      <c r="AZ674" s="266">
        <v>0</v>
      </c>
      <c r="BA674" s="266">
        <v>0</v>
      </c>
    </row>
    <row r="675" spans="1:53" s="244" customFormat="1" ht="0.75" customHeight="1" outlineLevel="2" x14ac:dyDescent="0.25">
      <c r="A675" s="211"/>
      <c r="B675" s="212"/>
      <c r="C675" s="300"/>
      <c r="D675" s="246"/>
      <c r="E675" s="246"/>
      <c r="F675" s="241"/>
      <c r="G675" s="241"/>
      <c r="H675" s="236"/>
      <c r="I675" s="237"/>
      <c r="J675" s="242"/>
      <c r="K675" s="241"/>
      <c r="L675" s="241"/>
      <c r="M675" s="236"/>
      <c r="N675" s="237"/>
      <c r="O675" s="282"/>
      <c r="P675" s="283"/>
      <c r="Q675" s="241"/>
      <c r="R675" s="241"/>
      <c r="S675" s="236"/>
      <c r="T675" s="237"/>
      <c r="U675" s="283"/>
      <c r="V675" s="241"/>
      <c r="W675" s="241"/>
      <c r="X675" s="236"/>
      <c r="Y675" s="232"/>
      <c r="AA675" s="241"/>
      <c r="AB675" s="245"/>
      <c r="AC675" s="241"/>
      <c r="AD675" s="241"/>
      <c r="AE675" s="241"/>
      <c r="AF675" s="241"/>
      <c r="AG675" s="241"/>
      <c r="AH675" s="241"/>
      <c r="AI675" s="241"/>
      <c r="AJ675" s="241"/>
      <c r="AK675" s="241"/>
      <c r="AL675" s="241"/>
      <c r="AM675" s="241"/>
      <c r="AN675" s="241"/>
      <c r="AO675" s="245"/>
      <c r="AP675" s="241"/>
      <c r="AQ675" s="241"/>
      <c r="AR675" s="241"/>
      <c r="AS675" s="241"/>
      <c r="AT675" s="241"/>
      <c r="AU675" s="241"/>
      <c r="AV675" s="241"/>
      <c r="AW675" s="241"/>
      <c r="AX675" s="241"/>
      <c r="AY675" s="241"/>
      <c r="AZ675" s="241"/>
      <c r="BA675" s="241"/>
    </row>
    <row r="676" spans="1:53" s="244" customFormat="1" x14ac:dyDescent="0.25">
      <c r="A676" s="211"/>
      <c r="B676" s="212" t="s">
        <v>1754</v>
      </c>
      <c r="C676" s="281" t="s">
        <v>1755</v>
      </c>
      <c r="D676" s="276"/>
      <c r="E676" s="276"/>
      <c r="F676" s="277">
        <f>+F672-F674</f>
        <v>0</v>
      </c>
      <c r="G676" s="277">
        <f>+G672-G674</f>
        <v>0</v>
      </c>
      <c r="H676" s="278">
        <f>+F676-G676</f>
        <v>0</v>
      </c>
      <c r="I676" s="279">
        <f>IF(G676&lt;0,IF(H676=0,0,IF(OR(G676=0,F676=0),"N.M.",IF(ABS(H676/G676)&gt;=10,"N.M.",H676/(-G676)))),IF(H676=0,0,IF(OR(G676=0,F676=0),"N.M.",IF(ABS(H676/G676)&gt;=10,"N.M.",H676/G676))))</f>
        <v>0</v>
      </c>
      <c r="J676" s="242"/>
      <c r="K676" s="277">
        <f>+K672-K674</f>
        <v>0</v>
      </c>
      <c r="L676" s="277">
        <f>+L672-L674</f>
        <v>0</v>
      </c>
      <c r="M676" s="278">
        <f>+K676-L676</f>
        <v>0</v>
      </c>
      <c r="N676" s="279">
        <f>IF(L676&lt;0,IF(M676=0,0,IF(OR(L676=0,K676=0),"N.M.",IF(ABS(M676/L676)&gt;=10,"N.M.",M676/(-L676)))),IF(M676=0,0,IF(OR(L676=0,K676=0),"N.M.",IF(ABS(M676/L676)&gt;=10,"N.M.",M676/L676))))</f>
        <v>0</v>
      </c>
      <c r="O676" s="181"/>
      <c r="P676" s="263"/>
      <c r="Q676" s="277">
        <f>+Q672-Q674</f>
        <v>0</v>
      </c>
      <c r="R676" s="277">
        <f>+R672-R674</f>
        <v>0</v>
      </c>
      <c r="S676" s="278">
        <f>+Q676-R676</f>
        <v>0</v>
      </c>
      <c r="T676" s="279">
        <f>IF(R676&lt;0,IF(S676=0,0,IF(OR(R676=0,Q676=0),"N.M.",IF(ABS(S676/R676)&gt;=10,"N.M.",S676/(-R676)))),IF(S676=0,0,IF(OR(R676=0,Q676=0),"N.M.",IF(ABS(S676/R676)&gt;=10,"N.M.",S676/R676))))</f>
        <v>0</v>
      </c>
      <c r="U676" s="263"/>
      <c r="V676" s="277">
        <f>+V672-V674</f>
        <v>0</v>
      </c>
      <c r="W676" s="277">
        <f>+W672-W674</f>
        <v>0</v>
      </c>
      <c r="X676" s="278">
        <f>+V676-W676</f>
        <v>0</v>
      </c>
      <c r="Y676" s="280">
        <f>IF(W676&lt;0,IF(X676=0,0,IF(OR(W676=0,V676=0),"N.M.",IF(ABS(X676/W676)&gt;=10,"N.M.",X676/(-W676)))),IF(X676=0,0,IF(OR(W676=0,V676=0),"N.M.",IF(ABS(X676/W676)&gt;=10,"N.M.",X676/W676))))</f>
        <v>0</v>
      </c>
      <c r="AA676" s="277">
        <f>+AA672-AA674</f>
        <v>0</v>
      </c>
      <c r="AB676" s="245"/>
      <c r="AC676" s="277">
        <f t="shared" ref="AC676:AN676" si="204">+AC672-AC674</f>
        <v>0</v>
      </c>
      <c r="AD676" s="277">
        <f t="shared" si="204"/>
        <v>0</v>
      </c>
      <c r="AE676" s="277">
        <f t="shared" si="204"/>
        <v>0</v>
      </c>
      <c r="AF676" s="277">
        <f t="shared" si="204"/>
        <v>0</v>
      </c>
      <c r="AG676" s="277">
        <f t="shared" si="204"/>
        <v>0</v>
      </c>
      <c r="AH676" s="277">
        <f t="shared" si="204"/>
        <v>0</v>
      </c>
      <c r="AI676" s="277">
        <f t="shared" si="204"/>
        <v>0</v>
      </c>
      <c r="AJ676" s="277">
        <f t="shared" si="204"/>
        <v>0</v>
      </c>
      <c r="AK676" s="277">
        <f t="shared" si="204"/>
        <v>0</v>
      </c>
      <c r="AL676" s="277">
        <f t="shared" si="204"/>
        <v>0</v>
      </c>
      <c r="AM676" s="277">
        <f t="shared" si="204"/>
        <v>0</v>
      </c>
      <c r="AN676" s="277">
        <f t="shared" si="204"/>
        <v>0</v>
      </c>
      <c r="AO676" s="245"/>
      <c r="AP676" s="277">
        <f t="shared" ref="AP676:BA676" si="205">+AP672-AP674</f>
        <v>0</v>
      </c>
      <c r="AQ676" s="277">
        <f t="shared" si="205"/>
        <v>0</v>
      </c>
      <c r="AR676" s="277">
        <f t="shared" si="205"/>
        <v>0</v>
      </c>
      <c r="AS676" s="277">
        <f t="shared" si="205"/>
        <v>0</v>
      </c>
      <c r="AT676" s="277">
        <f t="shared" si="205"/>
        <v>0</v>
      </c>
      <c r="AU676" s="277">
        <f t="shared" si="205"/>
        <v>0</v>
      </c>
      <c r="AV676" s="277">
        <f t="shared" si="205"/>
        <v>0</v>
      </c>
      <c r="AW676" s="277">
        <f t="shared" si="205"/>
        <v>0</v>
      </c>
      <c r="AX676" s="277">
        <f t="shared" si="205"/>
        <v>0</v>
      </c>
      <c r="AY676" s="277">
        <f t="shared" si="205"/>
        <v>0</v>
      </c>
      <c r="AZ676" s="277">
        <f t="shared" si="205"/>
        <v>0</v>
      </c>
      <c r="BA676" s="277">
        <f t="shared" si="205"/>
        <v>0</v>
      </c>
    </row>
    <row r="677" spans="1:53" s="244" customFormat="1" x14ac:dyDescent="0.25">
      <c r="A677" s="301"/>
      <c r="B677" s="212" t="s">
        <v>1756</v>
      </c>
      <c r="C677" s="302" t="s">
        <v>1757</v>
      </c>
      <c r="D677" s="276"/>
      <c r="E677" s="276"/>
      <c r="F677" s="277">
        <f>+F665+F676</f>
        <v>1202081.0220000087</v>
      </c>
      <c r="G677" s="277">
        <f>+G665+G676</f>
        <v>5713902.887000002</v>
      </c>
      <c r="H677" s="278">
        <f>+F677-G677</f>
        <v>-4511821.8649999928</v>
      </c>
      <c r="I677" s="279">
        <f>IF(G677&lt;0,IF(H677=0,0,IF(OR(G677=0,F677=0),"N.M.",IF(ABS(H677/G677)&gt;=10,"N.M.",H677/(-G677)))),IF(H677=0,0,IF(OR(G677=0,F677=0),"N.M.",IF(ABS(H677/G677)&gt;=10,"N.M.",H677/G677))))</f>
        <v>-0.7896217269049276</v>
      </c>
      <c r="J677" s="242"/>
      <c r="K677" s="277">
        <f>+K665+K676</f>
        <v>6354664.6379999835</v>
      </c>
      <c r="L677" s="277">
        <f>+L665+L676</f>
        <v>17641283.333000004</v>
      </c>
      <c r="M677" s="278">
        <f>+K677-L677</f>
        <v>-11286618.695000021</v>
      </c>
      <c r="N677" s="279">
        <f>IF(L677&lt;0,IF(M677=0,0,IF(OR(L677=0,K677=0),"N.M.",IF(ABS(M677/L677)&gt;=10,"N.M.",M677/(-L677)))),IF(M677=0,0,IF(OR(L677=0,K677=0),"N.M.",IF(ABS(M677/L677)&gt;=10,"N.M.",M677/L677))))</f>
        <v>-0.63978444662736811</v>
      </c>
      <c r="O677" s="181"/>
      <c r="P677" s="263"/>
      <c r="Q677" s="277">
        <f>+Q665+Q676</f>
        <v>8461028.7360000014</v>
      </c>
      <c r="R677" s="277">
        <f>+R665+R676</f>
        <v>18075780.337999925</v>
      </c>
      <c r="S677" s="278">
        <f>+Q677-R677</f>
        <v>-9614751.6019999236</v>
      </c>
      <c r="T677" s="279">
        <f>IF(R677&lt;0,IF(S677=0,0,IF(OR(R677=0,Q677=0),"N.M.",IF(ABS(S677/R677)&gt;=10,"N.M.",S677/(-R677)))),IF(S677=0,0,IF(OR(R677=0,Q677=0),"N.M.",IF(ABS(S677/R677)&gt;=10,"N.M.",S677/R677))))</f>
        <v>-0.53191350095062007</v>
      </c>
      <c r="U677" s="263"/>
      <c r="V677" s="277">
        <f>+V665+V676</f>
        <v>38923716.456000105</v>
      </c>
      <c r="W677" s="277">
        <f>+W665+W676</f>
        <v>34271562.140999742</v>
      </c>
      <c r="X677" s="278">
        <f>+V677-W677</f>
        <v>4652154.3150003627</v>
      </c>
      <c r="Y677" s="280">
        <f>IF(W677&lt;0,IF(X677=0,0,IF(OR(W677=0,V677=0),"N.M.",IF(ABS(X677/W677)&gt;=10,"N.M.",X677/(-W677)))),IF(X677=0,0,IF(OR(W677=0,V677=0),"N.M.",IF(ABS(X677/W677)&gt;=10,"N.M.",X677/W677))))</f>
        <v>0.13574386530326552</v>
      </c>
      <c r="AA677" s="277">
        <f>+AA665+AA676</f>
        <v>434497.00500000268</v>
      </c>
      <c r="AB677" s="245"/>
      <c r="AC677" s="277">
        <f t="shared" ref="AC677:AN677" si="206">+AC665+AC676</f>
        <v>11927380.446000017</v>
      </c>
      <c r="AD677" s="277">
        <f t="shared" si="206"/>
        <v>5713902.887000002</v>
      </c>
      <c r="AE677" s="277">
        <f t="shared" si="206"/>
        <v>2162035.5039999979</v>
      </c>
      <c r="AF677" s="277">
        <f t="shared" si="206"/>
        <v>3114487.4040000159</v>
      </c>
      <c r="AG677" s="277">
        <f t="shared" si="206"/>
        <v>3255907.421000001</v>
      </c>
      <c r="AH677" s="277">
        <f t="shared" si="206"/>
        <v>2516174.4150000182</v>
      </c>
      <c r="AI677" s="277">
        <f t="shared" si="206"/>
        <v>4962627.63799999</v>
      </c>
      <c r="AJ677" s="277">
        <f t="shared" si="206"/>
        <v>8009505.2559999973</v>
      </c>
      <c r="AK677" s="277">
        <f t="shared" si="206"/>
        <v>-1487160.2900000019</v>
      </c>
      <c r="AL677" s="277">
        <f t="shared" si="206"/>
        <v>769896.01199999591</v>
      </c>
      <c r="AM677" s="277">
        <f t="shared" si="206"/>
        <v>7159214.3599999873</v>
      </c>
      <c r="AN677" s="277">
        <f t="shared" si="206"/>
        <v>2106364.0980000109</v>
      </c>
      <c r="AO677" s="245"/>
      <c r="AP677" s="277">
        <f t="shared" ref="AP677:BA677" si="207">+AP665+AP676</f>
        <v>5152583.6160000116</v>
      </c>
      <c r="AQ677" s="277">
        <f t="shared" si="207"/>
        <v>1202081.0220000087</v>
      </c>
      <c r="AR677" s="277">
        <f t="shared" si="207"/>
        <v>5233209.2569999984</v>
      </c>
      <c r="AS677" s="277">
        <f t="shared" si="207"/>
        <v>-1238069.97</v>
      </c>
      <c r="AT677" s="277">
        <f t="shared" si="207"/>
        <v>0</v>
      </c>
      <c r="AU677" s="277">
        <f t="shared" si="207"/>
        <v>0</v>
      </c>
      <c r="AV677" s="277">
        <f t="shared" si="207"/>
        <v>0</v>
      </c>
      <c r="AW677" s="277">
        <f t="shared" si="207"/>
        <v>0</v>
      </c>
      <c r="AX677" s="277">
        <f t="shared" si="207"/>
        <v>0</v>
      </c>
      <c r="AY677" s="277">
        <f t="shared" si="207"/>
        <v>0</v>
      </c>
      <c r="AZ677" s="277">
        <f t="shared" si="207"/>
        <v>0</v>
      </c>
      <c r="BA677" s="277">
        <f t="shared" si="207"/>
        <v>0</v>
      </c>
    </row>
    <row r="678" spans="1:53" s="301" customFormat="1" x14ac:dyDescent="0.25">
      <c r="D678" s="246"/>
      <c r="E678" s="246"/>
      <c r="F678" s="303"/>
      <c r="G678" s="303"/>
      <c r="H678" s="278"/>
      <c r="I678" s="279"/>
      <c r="J678" s="304"/>
      <c r="K678" s="303"/>
      <c r="L678" s="303"/>
      <c r="M678" s="278"/>
      <c r="N678" s="279"/>
      <c r="O678" s="282"/>
      <c r="P678" s="283"/>
      <c r="Q678" s="303"/>
      <c r="R678" s="303"/>
      <c r="S678" s="278"/>
      <c r="T678" s="279"/>
      <c r="U678" s="283"/>
      <c r="V678" s="303"/>
      <c r="W678" s="303"/>
      <c r="X678" s="278"/>
      <c r="Y678" s="280"/>
      <c r="AA678" s="303"/>
      <c r="AB678" s="235"/>
      <c r="AC678" s="303"/>
      <c r="AD678" s="303"/>
      <c r="AE678" s="303"/>
      <c r="AF678" s="303"/>
      <c r="AG678" s="303"/>
      <c r="AH678" s="303"/>
      <c r="AI678" s="303"/>
      <c r="AJ678" s="303"/>
      <c r="AK678" s="303"/>
      <c r="AL678" s="303"/>
      <c r="AM678" s="303"/>
      <c r="AN678" s="303"/>
      <c r="AO678" s="235"/>
      <c r="AP678" s="303"/>
      <c r="AQ678" s="303"/>
      <c r="AR678" s="303"/>
      <c r="AS678" s="303"/>
      <c r="AT678" s="303"/>
      <c r="AU678" s="303"/>
      <c r="AV678" s="303"/>
      <c r="AW678" s="303"/>
      <c r="AX678" s="303"/>
      <c r="AY678" s="303"/>
      <c r="AZ678" s="303"/>
      <c r="BA678" s="303"/>
    </row>
    <row r="679" spans="1:53" s="301" customFormat="1" x14ac:dyDescent="0.25">
      <c r="A679" s="301" t="s">
        <v>1758</v>
      </c>
      <c r="D679" s="246"/>
      <c r="E679" s="246"/>
      <c r="F679" s="303"/>
      <c r="G679" s="303"/>
      <c r="H679" s="278"/>
      <c r="I679" s="279"/>
      <c r="J679" s="304"/>
      <c r="K679" s="303"/>
      <c r="L679" s="303"/>
      <c r="M679" s="278"/>
      <c r="N679" s="279"/>
      <c r="O679" s="282"/>
      <c r="P679" s="283"/>
      <c r="Q679" s="303"/>
      <c r="R679" s="303"/>
      <c r="S679" s="278"/>
      <c r="T679" s="279"/>
      <c r="U679" s="283"/>
      <c r="V679" s="303"/>
      <c r="W679" s="303"/>
      <c r="X679" s="278"/>
      <c r="Y679" s="280"/>
      <c r="AA679" s="303"/>
      <c r="AB679" s="235"/>
      <c r="AC679" s="303"/>
      <c r="AD679" s="303"/>
      <c r="AE679" s="303"/>
      <c r="AF679" s="303"/>
      <c r="AG679" s="303"/>
      <c r="AH679" s="303"/>
      <c r="AI679" s="303"/>
      <c r="AJ679" s="303"/>
      <c r="AK679" s="303"/>
      <c r="AL679" s="303"/>
      <c r="AM679" s="303"/>
      <c r="AN679" s="303"/>
      <c r="AO679" s="235"/>
      <c r="AP679" s="303"/>
      <c r="AQ679" s="303"/>
      <c r="AR679" s="303"/>
      <c r="AS679" s="303"/>
      <c r="AT679" s="303"/>
      <c r="AU679" s="303"/>
      <c r="AV679" s="303"/>
      <c r="AW679" s="303"/>
      <c r="AX679" s="303"/>
      <c r="AY679" s="303"/>
      <c r="AZ679" s="303"/>
      <c r="BA679" s="303"/>
    </row>
    <row r="680" spans="1:53" s="305" customFormat="1" x14ac:dyDescent="0.25">
      <c r="A680" s="244" t="s">
        <v>1759</v>
      </c>
      <c r="C680" s="305" t="s">
        <v>1760</v>
      </c>
      <c r="D680" s="276"/>
      <c r="E680" s="276"/>
      <c r="F680" s="303">
        <v>-1202081.022000026</v>
      </c>
      <c r="G680" s="303">
        <v>-5713902.8869999908</v>
      </c>
      <c r="H680" s="278"/>
      <c r="I680" s="279"/>
      <c r="J680" s="306"/>
      <c r="K680" s="303">
        <v>-6354664.6379999556</v>
      </c>
      <c r="L680" s="303">
        <v>-17641283.333000012</v>
      </c>
      <c r="M680" s="278"/>
      <c r="N680" s="279"/>
      <c r="O680" s="282"/>
      <c r="P680" s="283"/>
      <c r="Q680" s="303">
        <v>-8461028.7359999306</v>
      </c>
      <c r="R680" s="303">
        <v>-18075780.338000044</v>
      </c>
      <c r="S680" s="278"/>
      <c r="T680" s="279"/>
      <c r="U680" s="283"/>
      <c r="V680" s="303">
        <v>-38923716.455999985</v>
      </c>
      <c r="W680" s="303">
        <v>-34271562.140999839</v>
      </c>
      <c r="X680" s="278"/>
      <c r="Y680" s="280"/>
      <c r="AA680" s="303">
        <v>-434497.00500001141</v>
      </c>
      <c r="AB680" s="245"/>
      <c r="AC680" s="303">
        <v>-11927380.446000019</v>
      </c>
      <c r="AD680" s="303">
        <v>-5713902.8869999908</v>
      </c>
      <c r="AE680" s="303">
        <v>-2162035.5040000016</v>
      </c>
      <c r="AF680" s="303">
        <v>-3114487.4039999922</v>
      </c>
      <c r="AG680" s="303">
        <v>-3255907.4210000155</v>
      </c>
      <c r="AH680" s="303">
        <v>-2516174.4149999944</v>
      </c>
      <c r="AI680" s="303">
        <v>-4962627.6379999928</v>
      </c>
      <c r="AJ680" s="303">
        <v>-8009505.2559999945</v>
      </c>
      <c r="AK680" s="303">
        <v>1487160.289999987</v>
      </c>
      <c r="AL680" s="303">
        <v>-769896.01200000453</v>
      </c>
      <c r="AM680" s="303">
        <v>-7159214.359999992</v>
      </c>
      <c r="AN680" s="303">
        <v>-2106364.0979999825</v>
      </c>
      <c r="AO680" s="245"/>
      <c r="AP680" s="303">
        <v>-5152583.616000005</v>
      </c>
      <c r="AQ680" s="303">
        <v>-1202081.022000026</v>
      </c>
      <c r="AR680" s="303">
        <v>-5233209.257000017</v>
      </c>
      <c r="AS680" s="303">
        <v>1238069.97</v>
      </c>
      <c r="AT680" s="303">
        <v>0</v>
      </c>
      <c r="AU680" s="303">
        <v>0</v>
      </c>
      <c r="AV680" s="303">
        <v>0</v>
      </c>
      <c r="AW680" s="303">
        <v>0</v>
      </c>
      <c r="AX680" s="303">
        <v>0</v>
      </c>
      <c r="AY680" s="303">
        <v>0</v>
      </c>
      <c r="AZ680" s="303">
        <v>0</v>
      </c>
      <c r="BA680" s="303">
        <v>0</v>
      </c>
    </row>
    <row r="681" spans="1:53" s="301" customFormat="1" x14ac:dyDescent="0.25">
      <c r="C681" s="301" t="s">
        <v>1761</v>
      </c>
      <c r="D681" s="246"/>
      <c r="E681" s="246"/>
      <c r="F681" s="307">
        <f>+F677+F680</f>
        <v>-1.7229467630386353E-8</v>
      </c>
      <c r="G681" s="307">
        <f>+G677+G680</f>
        <v>1.1175870895385742E-8</v>
      </c>
      <c r="H681" s="278"/>
      <c r="I681" s="279"/>
      <c r="J681" s="304"/>
      <c r="K681" s="307">
        <f>+K677+K680</f>
        <v>2.7939677238464355E-8</v>
      </c>
      <c r="L681" s="307">
        <f>+L677+L680</f>
        <v>0</v>
      </c>
      <c r="M681" s="278"/>
      <c r="N681" s="279"/>
      <c r="O681" s="282"/>
      <c r="P681" s="283"/>
      <c r="Q681" s="307">
        <f>+Q677+Q680</f>
        <v>7.0780515670776367E-8</v>
      </c>
      <c r="R681" s="307">
        <f>+R677+R680</f>
        <v>-1.1920928955078125E-7</v>
      </c>
      <c r="S681" s="278"/>
      <c r="T681" s="279"/>
      <c r="U681" s="283"/>
      <c r="V681" s="307">
        <f>+V677+V680</f>
        <v>1.1920928955078125E-7</v>
      </c>
      <c r="W681" s="307">
        <f>+W677+W680</f>
        <v>-9.6857547760009766E-8</v>
      </c>
      <c r="X681" s="278"/>
      <c r="Y681" s="280"/>
      <c r="AA681" s="307">
        <f>+AA677+AA680</f>
        <v>-8.7311491370201111E-9</v>
      </c>
      <c r="AB681" s="235"/>
      <c r="AC681" s="307">
        <f t="shared" ref="AC681:AN681" si="208">+AC677+AC680</f>
        <v>0</v>
      </c>
      <c r="AD681" s="307">
        <f t="shared" si="208"/>
        <v>1.1175870895385742E-8</v>
      </c>
      <c r="AE681" s="307">
        <f t="shared" si="208"/>
        <v>-3.7252902984619141E-9</v>
      </c>
      <c r="AF681" s="307">
        <f t="shared" si="208"/>
        <v>2.3748725652694702E-8</v>
      </c>
      <c r="AG681" s="307">
        <f t="shared" si="208"/>
        <v>-1.4435499906539917E-8</v>
      </c>
      <c r="AH681" s="307">
        <f t="shared" si="208"/>
        <v>2.3748725652694702E-8</v>
      </c>
      <c r="AI681" s="307">
        <f t="shared" si="208"/>
        <v>0</v>
      </c>
      <c r="AJ681" s="307">
        <f t="shared" si="208"/>
        <v>0</v>
      </c>
      <c r="AK681" s="307">
        <f t="shared" si="208"/>
        <v>-1.4901161193847656E-8</v>
      </c>
      <c r="AL681" s="307">
        <f t="shared" si="208"/>
        <v>-8.6147338151931763E-9</v>
      </c>
      <c r="AM681" s="307">
        <f t="shared" si="208"/>
        <v>0</v>
      </c>
      <c r="AN681" s="307">
        <f t="shared" si="208"/>
        <v>2.8405338525772095E-8</v>
      </c>
      <c r="AO681" s="235"/>
      <c r="AP681" s="307">
        <f t="shared" ref="AP681:BA681" si="209">+AP677+AP680</f>
        <v>0</v>
      </c>
      <c r="AQ681" s="307">
        <f t="shared" si="209"/>
        <v>-1.7229467630386353E-8</v>
      </c>
      <c r="AR681" s="307">
        <f t="shared" si="209"/>
        <v>-1.862645149230957E-8</v>
      </c>
      <c r="AS681" s="307">
        <f t="shared" si="209"/>
        <v>0</v>
      </c>
      <c r="AT681" s="307">
        <f t="shared" si="209"/>
        <v>0</v>
      </c>
      <c r="AU681" s="307">
        <f t="shared" si="209"/>
        <v>0</v>
      </c>
      <c r="AV681" s="307">
        <f t="shared" si="209"/>
        <v>0</v>
      </c>
      <c r="AW681" s="307">
        <f t="shared" si="209"/>
        <v>0</v>
      </c>
      <c r="AX681" s="307">
        <f t="shared" si="209"/>
        <v>0</v>
      </c>
      <c r="AY681" s="307">
        <f t="shared" si="209"/>
        <v>0</v>
      </c>
      <c r="AZ681" s="307">
        <f t="shared" si="209"/>
        <v>0</v>
      </c>
      <c r="BA681" s="307">
        <f t="shared" si="209"/>
        <v>0</v>
      </c>
    </row>
    <row r="682" spans="1:53" s="301" customFormat="1" x14ac:dyDescent="0.25">
      <c r="D682" s="214"/>
      <c r="E682" s="303"/>
      <c r="F682" s="308"/>
      <c r="G682" s="308"/>
      <c r="H682" s="308"/>
      <c r="I682" s="303"/>
      <c r="J682" s="309"/>
      <c r="K682" s="308"/>
      <c r="L682" s="308"/>
      <c r="M682" s="308"/>
      <c r="N682" s="303"/>
      <c r="O682" s="310"/>
      <c r="P682" s="309"/>
      <c r="Q682" s="308"/>
      <c r="R682" s="308"/>
      <c r="S682" s="308"/>
      <c r="T682" s="303"/>
      <c r="U682" s="309"/>
      <c r="V682" s="308"/>
      <c r="W682" s="308"/>
      <c r="X682" s="308"/>
      <c r="Y682" s="303"/>
      <c r="Z682" s="303"/>
      <c r="AA682" s="311"/>
      <c r="AB682" s="221"/>
      <c r="AC682" s="312"/>
      <c r="AD682" s="312"/>
      <c r="AE682" s="312"/>
      <c r="AF682" s="312"/>
      <c r="AG682" s="312"/>
      <c r="AH682" s="312"/>
      <c r="AI682" s="312"/>
      <c r="AJ682" s="312"/>
      <c r="AK682" s="312"/>
      <c r="AL682" s="312"/>
      <c r="AM682" s="312"/>
      <c r="AN682" s="312"/>
      <c r="AO682" s="221"/>
      <c r="AP682" s="312"/>
      <c r="AQ682" s="312"/>
      <c r="AR682" s="312"/>
      <c r="AS682" s="312"/>
      <c r="AT682" s="312"/>
      <c r="AU682" s="312"/>
      <c r="AV682" s="312"/>
      <c r="AW682" s="312"/>
      <c r="AX682" s="312"/>
      <c r="AY682" s="312"/>
      <c r="AZ682" s="312"/>
      <c r="BA682" s="312"/>
    </row>
    <row r="683" spans="1:53" s="313" customFormat="1" x14ac:dyDescent="0.25">
      <c r="B683" s="301"/>
      <c r="C683" s="301"/>
      <c r="D683" s="314"/>
      <c r="E683" s="315"/>
      <c r="F683" s="316"/>
      <c r="G683" s="316"/>
      <c r="H683" s="317"/>
      <c r="I683" s="318"/>
      <c r="J683" s="169"/>
      <c r="K683" s="316"/>
      <c r="L683" s="316"/>
      <c r="M683" s="317"/>
      <c r="N683" s="318"/>
      <c r="O683" s="170"/>
      <c r="P683" s="169"/>
      <c r="Q683" s="316"/>
      <c r="R683" s="316"/>
      <c r="S683" s="317"/>
      <c r="T683" s="318"/>
      <c r="U683" s="169"/>
      <c r="V683" s="316"/>
      <c r="W683" s="316"/>
      <c r="X683" s="317"/>
      <c r="Y683" s="318"/>
      <c r="Z683" s="148"/>
      <c r="AA683" s="319"/>
      <c r="AB683" s="150"/>
      <c r="AC683" s="317"/>
      <c r="AD683" s="317"/>
      <c r="AE683" s="317"/>
      <c r="AF683" s="317"/>
      <c r="AG683" s="317"/>
      <c r="AH683" s="317"/>
      <c r="AI683" s="317"/>
      <c r="AJ683" s="317"/>
      <c r="AK683" s="317"/>
      <c r="AL683" s="317"/>
      <c r="AM683" s="317"/>
      <c r="AN683" s="317"/>
      <c r="AO683" s="150"/>
      <c r="AP683" s="317"/>
      <c r="AQ683" s="317"/>
      <c r="AR683" s="317"/>
      <c r="AS683" s="317"/>
      <c r="AT683" s="317"/>
      <c r="AU683" s="317"/>
      <c r="AV683" s="317"/>
      <c r="AW683" s="317"/>
      <c r="AX683" s="317"/>
      <c r="AY683" s="317"/>
      <c r="AZ683" s="317"/>
      <c r="BA683" s="317"/>
    </row>
    <row r="684" spans="1:53" s="48" customFormat="1" ht="14.4" x14ac:dyDescent="0.3">
      <c r="A684" s="313"/>
      <c r="B684" s="320"/>
      <c r="C684" s="321"/>
      <c r="D684" s="313"/>
      <c r="E684" s="315"/>
      <c r="F684" s="316"/>
      <c r="G684" s="316"/>
      <c r="H684" s="317"/>
      <c r="I684" s="318"/>
      <c r="J684" s="169"/>
      <c r="K684" s="316"/>
      <c r="L684" s="316"/>
      <c r="M684" s="317"/>
      <c r="N684" s="318"/>
      <c r="O684" s="170"/>
      <c r="P684" s="169"/>
      <c r="Q684" s="316"/>
      <c r="R684" s="316"/>
      <c r="S684" s="317"/>
      <c r="T684" s="318"/>
      <c r="U684" s="169"/>
      <c r="V684" s="316"/>
      <c r="W684" s="316"/>
      <c r="X684" s="317"/>
      <c r="Y684" s="318"/>
      <c r="Z684" s="148"/>
      <c r="AA684" s="322"/>
      <c r="AB684" s="150"/>
      <c r="AC684" s="323"/>
      <c r="AD684" s="323"/>
      <c r="AE684" s="323"/>
      <c r="AF684" s="323"/>
      <c r="AG684" s="323"/>
      <c r="AH684" s="323"/>
      <c r="AI684" s="323"/>
      <c r="AJ684" s="323"/>
      <c r="AK684" s="323"/>
      <c r="AL684" s="323"/>
      <c r="AM684" s="323"/>
      <c r="AN684" s="323"/>
      <c r="AO684" s="150"/>
      <c r="AP684" s="323"/>
      <c r="AQ684" s="323"/>
      <c r="AR684" s="323"/>
      <c r="AS684" s="323"/>
      <c r="AT684" s="323"/>
      <c r="AU684" s="323"/>
      <c r="AV684" s="323"/>
      <c r="AW684" s="323"/>
      <c r="AX684" s="323"/>
      <c r="AY684" s="323"/>
      <c r="AZ684" s="323"/>
      <c r="BA684" s="323"/>
    </row>
    <row r="685" spans="1:53" s="133" customFormat="1" ht="14.4" x14ac:dyDescent="0.3">
      <c r="A685" s="151"/>
      <c r="B685" s="320"/>
      <c r="C685" s="151"/>
      <c r="D685" s="151"/>
      <c r="E685" s="324"/>
      <c r="F685" s="316"/>
      <c r="G685" s="316"/>
      <c r="H685" s="317"/>
      <c r="I685" s="318"/>
      <c r="J685" s="169"/>
      <c r="K685" s="316"/>
      <c r="L685" s="316"/>
      <c r="M685" s="316"/>
      <c r="N685" s="318"/>
      <c r="O685" s="170"/>
      <c r="P685" s="169"/>
      <c r="Q685" s="316"/>
      <c r="R685" s="316"/>
      <c r="S685" s="316"/>
      <c r="T685" s="318"/>
      <c r="U685" s="169"/>
      <c r="V685" s="316"/>
      <c r="W685" s="316"/>
      <c r="X685" s="316"/>
      <c r="Y685" s="318"/>
      <c r="Z685" s="148"/>
      <c r="AA685" s="325"/>
      <c r="AB685" s="150"/>
      <c r="AC685" s="326"/>
      <c r="AD685" s="326"/>
      <c r="AE685" s="326"/>
      <c r="AF685" s="326"/>
      <c r="AG685" s="326"/>
      <c r="AH685" s="326"/>
      <c r="AI685" s="326"/>
      <c r="AJ685" s="326"/>
      <c r="AK685" s="326"/>
      <c r="AL685" s="326"/>
      <c r="AM685" s="326"/>
      <c r="AN685" s="326"/>
      <c r="AO685" s="150"/>
      <c r="AP685" s="326"/>
      <c r="AQ685" s="326"/>
      <c r="AR685" s="326"/>
      <c r="AS685" s="326"/>
      <c r="AT685" s="326"/>
      <c r="AU685" s="326"/>
      <c r="AV685" s="326"/>
      <c r="AW685" s="326"/>
      <c r="AX685" s="326"/>
      <c r="AY685" s="326"/>
      <c r="AZ685" s="326"/>
      <c r="BA685" s="326"/>
    </row>
    <row r="686" spans="1:53" s="133" customFormat="1" ht="14.4" x14ac:dyDescent="0.3">
      <c r="A686" s="151"/>
      <c r="B686" s="320"/>
      <c r="C686" s="151"/>
      <c r="D686" s="151"/>
      <c r="E686" s="324"/>
      <c r="F686" s="316"/>
      <c r="G686" s="316"/>
      <c r="H686" s="317"/>
      <c r="I686" s="318"/>
      <c r="J686" s="169"/>
      <c r="K686" s="316"/>
      <c r="L686" s="316"/>
      <c r="M686" s="316"/>
      <c r="N686" s="318"/>
      <c r="O686" s="170"/>
      <c r="P686" s="169"/>
      <c r="Q686" s="316"/>
      <c r="R686" s="316"/>
      <c r="S686" s="316"/>
      <c r="T686" s="318"/>
      <c r="U686" s="169"/>
      <c r="V686" s="316"/>
      <c r="W686" s="316"/>
      <c r="X686" s="316"/>
      <c r="Y686" s="318"/>
      <c r="Z686" s="148"/>
      <c r="AA686" s="325"/>
      <c r="AB686" s="150"/>
      <c r="AC686" s="326"/>
      <c r="AD686" s="326"/>
      <c r="AE686" s="326"/>
      <c r="AF686" s="326"/>
      <c r="AG686" s="326"/>
      <c r="AH686" s="326"/>
      <c r="AI686" s="326"/>
      <c r="AJ686" s="326"/>
      <c r="AK686" s="326"/>
      <c r="AL686" s="326"/>
      <c r="AM686" s="326"/>
      <c r="AN686" s="326"/>
      <c r="AO686" s="150"/>
      <c r="AP686" s="326"/>
      <c r="AQ686" s="326"/>
      <c r="AR686" s="326"/>
      <c r="AS686" s="326"/>
      <c r="AT686" s="326"/>
      <c r="AU686" s="326"/>
      <c r="AV686" s="326"/>
      <c r="AW686" s="326"/>
      <c r="AX686" s="326"/>
      <c r="AY686" s="326"/>
      <c r="AZ686" s="326"/>
      <c r="BA686" s="326"/>
    </row>
    <row r="687" spans="1:53" s="133" customFormat="1" ht="14.25" customHeight="1" x14ac:dyDescent="0.3">
      <c r="A687" s="151"/>
      <c r="B687" s="320"/>
      <c r="C687" s="151"/>
      <c r="D687" s="151"/>
      <c r="E687" s="324"/>
      <c r="F687" s="316"/>
      <c r="G687" s="316"/>
      <c r="H687" s="317"/>
      <c r="I687" s="318"/>
      <c r="J687" s="169"/>
      <c r="K687" s="316"/>
      <c r="L687" s="316"/>
      <c r="M687" s="316"/>
      <c r="N687" s="318"/>
      <c r="O687" s="170"/>
      <c r="P687" s="169"/>
      <c r="Q687" s="316"/>
      <c r="R687" s="316"/>
      <c r="S687" s="316"/>
      <c r="T687" s="318"/>
      <c r="U687" s="169"/>
      <c r="V687" s="316"/>
      <c r="W687" s="316"/>
      <c r="X687" s="316"/>
      <c r="Y687" s="318"/>
      <c r="Z687" s="148"/>
      <c r="AA687" s="325"/>
      <c r="AB687" s="150"/>
      <c r="AC687" s="326"/>
      <c r="AD687" s="326"/>
      <c r="AE687" s="326"/>
      <c r="AF687" s="326"/>
      <c r="AG687" s="326"/>
      <c r="AH687" s="326"/>
      <c r="AI687" s="326"/>
      <c r="AJ687" s="326"/>
      <c r="AK687" s="326"/>
      <c r="AL687" s="326"/>
      <c r="AM687" s="326"/>
      <c r="AN687" s="326"/>
      <c r="AO687" s="150"/>
      <c r="AP687" s="326"/>
      <c r="AQ687" s="326"/>
      <c r="AR687" s="326"/>
      <c r="AS687" s="326"/>
      <c r="AT687" s="326"/>
      <c r="AU687" s="326"/>
      <c r="AV687" s="326"/>
      <c r="AW687" s="326"/>
      <c r="AX687" s="326"/>
      <c r="AY687" s="326"/>
      <c r="AZ687" s="326"/>
      <c r="BA687" s="326"/>
    </row>
    <row r="688" spans="1:53" s="133" customFormat="1" ht="14.25" customHeight="1" x14ac:dyDescent="0.3">
      <c r="A688" s="151"/>
      <c r="B688" s="320"/>
      <c r="C688" s="151"/>
      <c r="D688" s="151"/>
      <c r="E688" s="324"/>
      <c r="F688" s="316"/>
      <c r="G688" s="316"/>
      <c r="H688" s="317"/>
      <c r="I688" s="318"/>
      <c r="J688" s="169"/>
      <c r="K688" s="316"/>
      <c r="L688" s="316"/>
      <c r="M688" s="316"/>
      <c r="N688" s="318"/>
      <c r="O688" s="170"/>
      <c r="P688" s="169"/>
      <c r="Q688" s="316"/>
      <c r="R688" s="316"/>
      <c r="S688" s="316"/>
      <c r="T688" s="318"/>
      <c r="U688" s="169"/>
      <c r="V688" s="316"/>
      <c r="W688" s="316"/>
      <c r="X688" s="316"/>
      <c r="Y688" s="318"/>
      <c r="Z688" s="148"/>
      <c r="AA688" s="325"/>
      <c r="AB688" s="150"/>
      <c r="AC688" s="326"/>
      <c r="AD688" s="326"/>
      <c r="AE688" s="326"/>
      <c r="AF688" s="326"/>
      <c r="AG688" s="326"/>
      <c r="AH688" s="326"/>
      <c r="AI688" s="326"/>
      <c r="AJ688" s="326"/>
      <c r="AK688" s="326"/>
      <c r="AL688" s="326"/>
      <c r="AM688" s="326"/>
      <c r="AN688" s="326"/>
      <c r="AO688" s="150"/>
      <c r="AP688" s="326"/>
      <c r="AQ688" s="326"/>
      <c r="AR688" s="326"/>
      <c r="AS688" s="326"/>
      <c r="AT688" s="326"/>
      <c r="AU688" s="326"/>
      <c r="AV688" s="326"/>
      <c r="AW688" s="326"/>
      <c r="AX688" s="326"/>
      <c r="AY688" s="326"/>
      <c r="AZ688" s="326"/>
      <c r="BA688" s="326"/>
    </row>
    <row r="689" spans="1:53" x14ac:dyDescent="0.25">
      <c r="C689" s="327"/>
      <c r="D689" s="328"/>
      <c r="E689" s="203"/>
      <c r="F689" s="317"/>
      <c r="G689" s="329"/>
      <c r="H689" s="317"/>
      <c r="I689" s="151"/>
      <c r="J689" s="330"/>
      <c r="K689" s="331"/>
      <c r="L689" s="317"/>
      <c r="M689" s="317"/>
      <c r="N689" s="332"/>
      <c r="O689" s="333"/>
      <c r="Q689" s="331"/>
      <c r="R689" s="317"/>
      <c r="S689" s="317"/>
      <c r="T689" s="334"/>
      <c r="V689" s="331"/>
      <c r="W689" s="317"/>
      <c r="X689" s="317"/>
      <c r="Y689" s="151"/>
      <c r="Z689" s="211"/>
      <c r="AA689" s="335"/>
      <c r="AB689" s="150"/>
      <c r="AC689" s="316"/>
      <c r="AD689" s="316"/>
      <c r="AE689" s="316"/>
      <c r="AF689" s="316"/>
      <c r="AG689" s="316"/>
      <c r="AH689" s="316"/>
      <c r="AI689" s="316"/>
      <c r="AJ689" s="316"/>
      <c r="AK689" s="316"/>
      <c r="AL689" s="316"/>
      <c r="AM689" s="316"/>
      <c r="AN689" s="316"/>
      <c r="AO689" s="150"/>
      <c r="AP689" s="316"/>
      <c r="AQ689" s="316"/>
      <c r="AR689" s="316"/>
      <c r="AS689" s="316"/>
      <c r="AT689" s="316"/>
      <c r="AU689" s="316"/>
      <c r="AV689" s="316"/>
      <c r="AW689" s="316"/>
      <c r="AX689" s="316"/>
      <c r="AY689" s="316"/>
      <c r="AZ689" s="316"/>
      <c r="BA689" s="316"/>
    </row>
    <row r="690" spans="1:53" s="48" customFormat="1" x14ac:dyDescent="0.25">
      <c r="A690" s="313"/>
      <c r="B690" s="320"/>
      <c r="C690" s="313"/>
      <c r="D690" s="313"/>
      <c r="E690" s="336"/>
      <c r="F690" s="337"/>
      <c r="G690" s="337"/>
      <c r="H690" s="337"/>
      <c r="I690" s="318"/>
      <c r="J690" s="169"/>
      <c r="K690" s="338"/>
      <c r="L690" s="338"/>
      <c r="M690" s="338"/>
      <c r="N690" s="318"/>
      <c r="O690" s="170"/>
      <c r="P690" s="169"/>
      <c r="Q690" s="338"/>
      <c r="R690" s="338"/>
      <c r="S690" s="338"/>
      <c r="T690" s="318"/>
      <c r="U690" s="169"/>
      <c r="V690" s="338"/>
      <c r="W690" s="338"/>
      <c r="X690" s="338"/>
      <c r="Y690" s="318"/>
      <c r="Z690" s="148"/>
      <c r="AA690" s="339"/>
      <c r="AB690" s="340"/>
      <c r="AC690" s="340"/>
      <c r="AD690" s="340"/>
      <c r="AE690" s="340"/>
      <c r="AF690" s="340"/>
      <c r="AG690" s="340"/>
      <c r="AH690" s="340"/>
      <c r="AI690" s="340"/>
      <c r="AJ690" s="340"/>
      <c r="AK690" s="340"/>
      <c r="AL690" s="340"/>
      <c r="AM690" s="340"/>
      <c r="AN690" s="340"/>
      <c r="AO690" s="340"/>
      <c r="AP690" s="340"/>
      <c r="AQ690" s="340"/>
      <c r="AR690" s="340"/>
      <c r="AS690" s="340"/>
      <c r="AT690" s="340"/>
      <c r="AU690" s="340"/>
      <c r="AV690" s="340"/>
      <c r="AW690" s="340"/>
      <c r="AX690" s="340"/>
      <c r="AY690" s="340"/>
      <c r="AZ690" s="340"/>
      <c r="BA690" s="340"/>
    </row>
    <row r="691" spans="1:53" s="348" customFormat="1" ht="12.75" customHeight="1" outlineLevel="1" x14ac:dyDescent="0.25">
      <c r="A691" s="341"/>
      <c r="B691" s="342" t="s">
        <v>1762</v>
      </c>
      <c r="C691" s="343" t="s">
        <v>1763</v>
      </c>
      <c r="D691" s="344"/>
      <c r="E691" s="344"/>
      <c r="F691" s="345"/>
      <c r="G691" s="345"/>
      <c r="H691" s="337"/>
      <c r="I691" s="318"/>
      <c r="J691" s="169"/>
      <c r="K691" s="162"/>
      <c r="L691" s="162"/>
      <c r="M691" s="338"/>
      <c r="N691" s="318"/>
      <c r="O691" s="170"/>
      <c r="P691" s="169"/>
      <c r="Q691" s="162"/>
      <c r="R691" s="162"/>
      <c r="S691" s="338"/>
      <c r="T691" s="318"/>
      <c r="U691" s="169"/>
      <c r="V691" s="162"/>
      <c r="W691" s="162"/>
      <c r="X691" s="338"/>
      <c r="Y691" s="318"/>
      <c r="Z691" s="148"/>
      <c r="AA691" s="346"/>
      <c r="AB691" s="209"/>
      <c r="AC691" s="347"/>
      <c r="AD691" s="347"/>
      <c r="AE691" s="347"/>
      <c r="AF691" s="347"/>
      <c r="AG691" s="347"/>
      <c r="AH691" s="347"/>
      <c r="AI691" s="347"/>
      <c r="AJ691" s="347"/>
      <c r="AK691" s="347"/>
      <c r="AL691" s="347"/>
      <c r="AM691" s="347"/>
      <c r="AN691" s="347"/>
      <c r="AO691" s="209"/>
      <c r="AP691" s="347"/>
      <c r="AQ691" s="347"/>
      <c r="AR691" s="347"/>
      <c r="AS691" s="347"/>
      <c r="AT691" s="347"/>
      <c r="AU691" s="347"/>
      <c r="AV691" s="347"/>
      <c r="AW691" s="347"/>
      <c r="AX691" s="347"/>
      <c r="AY691" s="347"/>
      <c r="AZ691" s="347"/>
      <c r="BA691" s="347"/>
    </row>
    <row r="692" spans="1:53" s="348" customFormat="1" ht="12.75" customHeight="1" outlineLevel="1" x14ac:dyDescent="0.25">
      <c r="A692" s="341"/>
      <c r="B692" s="348" t="s">
        <v>1764</v>
      </c>
      <c r="C692" s="349">
        <v>1E-3</v>
      </c>
      <c r="D692" s="344"/>
      <c r="E692" s="344"/>
      <c r="F692" s="345"/>
      <c r="G692" s="345"/>
      <c r="H692" s="337"/>
      <c r="I692" s="318"/>
      <c r="J692" s="169"/>
      <c r="K692" s="162"/>
      <c r="L692" s="162"/>
      <c r="M692" s="338"/>
      <c r="N692" s="318"/>
      <c r="O692" s="170"/>
      <c r="P692" s="169"/>
      <c r="Q692" s="162"/>
      <c r="R692" s="162"/>
      <c r="S692" s="338"/>
      <c r="T692" s="318"/>
      <c r="U692" s="169"/>
      <c r="V692" s="162"/>
      <c r="W692" s="162"/>
      <c r="X692" s="338"/>
      <c r="Y692" s="318"/>
      <c r="Z692" s="148"/>
      <c r="AA692" s="346"/>
      <c r="AB692" s="209"/>
      <c r="AC692" s="347"/>
      <c r="AD692" s="347"/>
      <c r="AE692" s="347"/>
      <c r="AF692" s="347"/>
      <c r="AG692" s="347"/>
      <c r="AH692" s="347"/>
      <c r="AI692" s="347"/>
      <c r="AJ692" s="347"/>
      <c r="AK692" s="347"/>
      <c r="AL692" s="347"/>
      <c r="AM692" s="347"/>
      <c r="AN692" s="347"/>
      <c r="AO692" s="209"/>
      <c r="AP692" s="347"/>
      <c r="AQ692" s="347"/>
      <c r="AR692" s="347"/>
      <c r="AS692" s="347"/>
      <c r="AT692" s="347"/>
      <c r="AU692" s="347"/>
      <c r="AV692" s="347"/>
      <c r="AW692" s="347"/>
      <c r="AX692" s="347"/>
      <c r="AY692" s="347"/>
      <c r="AZ692" s="347"/>
      <c r="BA692" s="347"/>
    </row>
    <row r="693" spans="1:53" s="348" customFormat="1" ht="12.75" customHeight="1" outlineLevel="1" x14ac:dyDescent="0.25">
      <c r="A693" s="341"/>
      <c r="B693" s="348" t="s">
        <v>1765</v>
      </c>
      <c r="C693" s="349" t="s">
        <v>1766</v>
      </c>
      <c r="D693" s="344"/>
      <c r="E693" s="344"/>
      <c r="F693" s="345"/>
      <c r="G693" s="345"/>
      <c r="H693" s="337"/>
      <c r="I693" s="318"/>
      <c r="J693" s="169"/>
      <c r="K693" s="162"/>
      <c r="L693" s="162"/>
      <c r="M693" s="338"/>
      <c r="N693" s="318"/>
      <c r="O693" s="170"/>
      <c r="P693" s="169"/>
      <c r="Q693" s="162"/>
      <c r="R693" s="162"/>
      <c r="S693" s="338"/>
      <c r="T693" s="318"/>
      <c r="U693" s="169"/>
      <c r="V693" s="162"/>
      <c r="W693" s="162"/>
      <c r="X693" s="338"/>
      <c r="Y693" s="318"/>
      <c r="Z693" s="148"/>
      <c r="AA693" s="346"/>
      <c r="AB693" s="209"/>
      <c r="AC693" s="347"/>
      <c r="AD693" s="347"/>
      <c r="AE693" s="347"/>
      <c r="AF693" s="347"/>
      <c r="AG693" s="347"/>
      <c r="AH693" s="347"/>
      <c r="AI693" s="347"/>
      <c r="AJ693" s="347"/>
      <c r="AK693" s="347"/>
      <c r="AL693" s="347"/>
      <c r="AM693" s="347"/>
      <c r="AN693" s="347"/>
      <c r="AO693" s="209"/>
      <c r="AP693" s="347"/>
      <c r="AQ693" s="347"/>
      <c r="AR693" s="347"/>
      <c r="AS693" s="347"/>
      <c r="AT693" s="347"/>
      <c r="AU693" s="347"/>
      <c r="AV693" s="347"/>
      <c r="AW693" s="347"/>
      <c r="AX693" s="347"/>
      <c r="AY693" s="347"/>
      <c r="AZ693" s="347"/>
      <c r="BA693" s="347"/>
    </row>
    <row r="694" spans="1:53" s="348" customFormat="1" ht="12.75" customHeight="1" outlineLevel="1" x14ac:dyDescent="0.25">
      <c r="A694" s="341"/>
      <c r="B694" s="348" t="s">
        <v>1765</v>
      </c>
      <c r="C694" s="349" t="s">
        <v>1767</v>
      </c>
      <c r="D694" s="344"/>
      <c r="E694" s="344"/>
      <c r="F694" s="345"/>
      <c r="G694" s="345"/>
      <c r="H694" s="337"/>
      <c r="I694" s="318"/>
      <c r="J694" s="169"/>
      <c r="K694" s="162"/>
      <c r="L694" s="162"/>
      <c r="M694" s="338"/>
      <c r="N694" s="318"/>
      <c r="O694" s="170"/>
      <c r="P694" s="169"/>
      <c r="Q694" s="162"/>
      <c r="R694" s="162"/>
      <c r="S694" s="338"/>
      <c r="T694" s="318"/>
      <c r="U694" s="169"/>
      <c r="V694" s="162"/>
      <c r="W694" s="162"/>
      <c r="X694" s="338"/>
      <c r="Y694" s="318"/>
      <c r="Z694" s="148"/>
      <c r="AA694" s="346"/>
      <c r="AB694" s="209"/>
      <c r="AC694" s="347"/>
      <c r="AD694" s="347"/>
      <c r="AE694" s="347"/>
      <c r="AF694" s="347"/>
      <c r="AG694" s="347"/>
      <c r="AH694" s="347"/>
      <c r="AI694" s="347"/>
      <c r="AJ694" s="347"/>
      <c r="AK694" s="347"/>
      <c r="AL694" s="347"/>
      <c r="AM694" s="347"/>
      <c r="AN694" s="347"/>
      <c r="AO694" s="209"/>
      <c r="AP694" s="347"/>
      <c r="AQ694" s="347"/>
      <c r="AR694" s="347"/>
      <c r="AS694" s="347"/>
      <c r="AT694" s="347"/>
      <c r="AU694" s="347"/>
      <c r="AV694" s="347"/>
      <c r="AW694" s="347"/>
      <c r="AX694" s="347"/>
      <c r="AY694" s="347"/>
      <c r="AZ694" s="347"/>
      <c r="BA694" s="347"/>
    </row>
    <row r="695" spans="1:53" s="348" customFormat="1" ht="12.75" customHeight="1" outlineLevel="1" x14ac:dyDescent="0.25">
      <c r="A695" s="341"/>
      <c r="B695" s="348" t="s">
        <v>1768</v>
      </c>
      <c r="C695" s="349"/>
      <c r="D695" s="344"/>
      <c r="E695" s="344"/>
      <c r="F695" s="345"/>
      <c r="G695" s="345"/>
      <c r="H695" s="337"/>
      <c r="I695" s="318"/>
      <c r="J695" s="169"/>
      <c r="K695" s="162"/>
      <c r="L695" s="162"/>
      <c r="M695" s="338"/>
      <c r="N695" s="318"/>
      <c r="O695" s="170"/>
      <c r="P695" s="169"/>
      <c r="Q695" s="162"/>
      <c r="R695" s="162"/>
      <c r="S695" s="338"/>
      <c r="T695" s="318"/>
      <c r="U695" s="169"/>
      <c r="V695" s="162"/>
      <c r="W695" s="162"/>
      <c r="X695" s="338"/>
      <c r="Y695" s="318"/>
      <c r="Z695" s="148"/>
      <c r="AA695" s="346"/>
      <c r="AB695" s="209"/>
      <c r="AC695" s="347"/>
      <c r="AD695" s="347"/>
      <c r="AE695" s="347"/>
      <c r="AF695" s="347"/>
      <c r="AG695" s="347"/>
      <c r="AH695" s="347"/>
      <c r="AI695" s="347"/>
      <c r="AJ695" s="347"/>
      <c r="AK695" s="347"/>
      <c r="AL695" s="347"/>
      <c r="AM695" s="347"/>
      <c r="AN695" s="347"/>
      <c r="AO695" s="209"/>
      <c r="AP695" s="347"/>
      <c r="AQ695" s="347"/>
      <c r="AR695" s="347"/>
      <c r="AS695" s="347"/>
      <c r="AT695" s="347"/>
      <c r="AU695" s="347"/>
      <c r="AV695" s="347"/>
      <c r="AW695" s="347"/>
      <c r="AX695" s="347"/>
      <c r="AY695" s="347"/>
      <c r="AZ695" s="347"/>
      <c r="BA695" s="347"/>
    </row>
    <row r="696" spans="1:53" s="348" customFormat="1" ht="12.75" customHeight="1" outlineLevel="1" x14ac:dyDescent="0.25">
      <c r="A696" s="341"/>
      <c r="B696" s="348" t="s">
        <v>1768</v>
      </c>
      <c r="C696" s="349"/>
      <c r="D696" s="344"/>
      <c r="E696" s="344"/>
      <c r="F696" s="345"/>
      <c r="G696" s="345"/>
      <c r="H696" s="337"/>
      <c r="I696" s="318"/>
      <c r="J696" s="169"/>
      <c r="K696" s="162"/>
      <c r="L696" s="162"/>
      <c r="M696" s="338"/>
      <c r="N696" s="318"/>
      <c r="O696" s="170"/>
      <c r="P696" s="169"/>
      <c r="Q696" s="162"/>
      <c r="R696" s="162"/>
      <c r="S696" s="338"/>
      <c r="T696" s="318"/>
      <c r="U696" s="169"/>
      <c r="V696" s="162"/>
      <c r="W696" s="162"/>
      <c r="X696" s="338"/>
      <c r="Y696" s="318"/>
      <c r="Z696" s="148"/>
      <c r="AA696" s="346"/>
      <c r="AB696" s="209"/>
      <c r="AC696" s="347"/>
      <c r="AD696" s="347"/>
      <c r="AE696" s="347"/>
      <c r="AF696" s="347"/>
      <c r="AG696" s="347"/>
      <c r="AH696" s="347"/>
      <c r="AI696" s="347"/>
      <c r="AJ696" s="347"/>
      <c r="AK696" s="347"/>
      <c r="AL696" s="347"/>
      <c r="AM696" s="347"/>
      <c r="AN696" s="347"/>
      <c r="AO696" s="209"/>
      <c r="AP696" s="347"/>
      <c r="AQ696" s="347"/>
      <c r="AR696" s="347"/>
      <c r="AS696" s="347"/>
      <c r="AT696" s="347"/>
      <c r="AU696" s="347"/>
      <c r="AV696" s="347"/>
      <c r="AW696" s="347"/>
      <c r="AX696" s="347"/>
      <c r="AY696" s="347"/>
      <c r="AZ696" s="347"/>
      <c r="BA696" s="347"/>
    </row>
    <row r="697" spans="1:53" s="348" customFormat="1" ht="12.75" customHeight="1" outlineLevel="1" x14ac:dyDescent="0.25">
      <c r="A697" s="341"/>
      <c r="B697" s="348" t="s">
        <v>1769</v>
      </c>
      <c r="C697" s="349">
        <f>SUM(C695:C696)</f>
        <v>0</v>
      </c>
      <c r="D697" s="344"/>
      <c r="E697" s="344"/>
      <c r="F697" s="162"/>
      <c r="G697" s="162"/>
      <c r="H697" s="338"/>
      <c r="I697" s="318"/>
      <c r="J697" s="169"/>
      <c r="K697" s="162"/>
      <c r="L697" s="162"/>
      <c r="M697" s="338"/>
      <c r="N697" s="318"/>
      <c r="O697" s="170"/>
      <c r="P697" s="169"/>
      <c r="Q697" s="162"/>
      <c r="R697" s="162"/>
      <c r="S697" s="338"/>
      <c r="T697" s="318"/>
      <c r="U697" s="169"/>
      <c r="V697" s="162"/>
      <c r="W697" s="162"/>
      <c r="X697" s="338"/>
      <c r="Y697" s="318"/>
      <c r="Z697" s="148"/>
      <c r="AA697" s="346"/>
      <c r="AB697" s="209"/>
      <c r="AC697" s="347"/>
      <c r="AD697" s="347"/>
      <c r="AE697" s="347"/>
      <c r="AF697" s="347"/>
      <c r="AG697" s="347"/>
      <c r="AH697" s="347"/>
      <c r="AI697" s="347"/>
      <c r="AJ697" s="347"/>
      <c r="AK697" s="347"/>
      <c r="AL697" s="347"/>
      <c r="AM697" s="347"/>
      <c r="AN697" s="347"/>
      <c r="AO697" s="209"/>
      <c r="AP697" s="347"/>
      <c r="AQ697" s="347"/>
      <c r="AR697" s="347"/>
      <c r="AS697" s="347"/>
      <c r="AT697" s="347"/>
      <c r="AU697" s="347"/>
      <c r="AV697" s="347"/>
      <c r="AW697" s="347"/>
      <c r="AX697" s="347"/>
      <c r="AY697" s="347"/>
      <c r="AZ697" s="347"/>
      <c r="BA697" s="347"/>
    </row>
    <row r="698" spans="1:53" s="348" customFormat="1" ht="12.75" customHeight="1" outlineLevel="1" x14ac:dyDescent="0.25">
      <c r="A698" s="341"/>
      <c r="B698" s="350" t="s">
        <v>1770</v>
      </c>
      <c r="C698" s="351" t="s">
        <v>1771</v>
      </c>
      <c r="D698" s="344"/>
      <c r="E698" s="344"/>
      <c r="F698" s="162"/>
      <c r="G698" s="162"/>
      <c r="H698" s="338"/>
      <c r="I698" s="318"/>
      <c r="J698" s="169"/>
      <c r="K698" s="162"/>
      <c r="L698" s="162"/>
      <c r="M698" s="338"/>
      <c r="N698" s="318"/>
      <c r="O698" s="170"/>
      <c r="P698" s="169"/>
      <c r="Q698" s="162"/>
      <c r="R698" s="162"/>
      <c r="S698" s="338"/>
      <c r="T698" s="318"/>
      <c r="U698" s="169"/>
      <c r="V698" s="162"/>
      <c r="W698" s="162"/>
      <c r="X698" s="338"/>
      <c r="Y698" s="318"/>
      <c r="Z698" s="148"/>
      <c r="AA698" s="346"/>
      <c r="AB698" s="209"/>
      <c r="AC698" s="347"/>
      <c r="AD698" s="347"/>
      <c r="AE698" s="347"/>
      <c r="AF698" s="347"/>
      <c r="AG698" s="347"/>
      <c r="AH698" s="347"/>
      <c r="AI698" s="347"/>
      <c r="AJ698" s="347"/>
      <c r="AK698" s="347"/>
      <c r="AL698" s="347"/>
      <c r="AM698" s="347"/>
      <c r="AN698" s="347"/>
      <c r="AO698" s="209"/>
      <c r="AP698" s="347"/>
      <c r="AQ698" s="347"/>
      <c r="AR698" s="347"/>
      <c r="AS698" s="347"/>
      <c r="AT698" s="347"/>
      <c r="AU698" s="347"/>
      <c r="AV698" s="347"/>
      <c r="AW698" s="347"/>
      <c r="AX698" s="347"/>
      <c r="AY698" s="347"/>
      <c r="AZ698" s="347"/>
      <c r="BA698" s="347"/>
    </row>
    <row r="699" spans="1:53" s="348" customFormat="1" ht="12.75" customHeight="1" outlineLevel="1" x14ac:dyDescent="0.25">
      <c r="A699" s="341"/>
      <c r="B699" s="350" t="s">
        <v>1772</v>
      </c>
      <c r="C699" s="351" t="s">
        <v>1773</v>
      </c>
      <c r="D699" s="344"/>
      <c r="E699" s="344"/>
      <c r="F699" s="162"/>
      <c r="G699" s="162"/>
      <c r="H699" s="338"/>
      <c r="I699" s="318"/>
      <c r="J699" s="169"/>
      <c r="K699" s="162"/>
      <c r="L699" s="162"/>
      <c r="M699" s="338"/>
      <c r="N699" s="318"/>
      <c r="O699" s="170"/>
      <c r="P699" s="169"/>
      <c r="Q699" s="162"/>
      <c r="R699" s="162"/>
      <c r="S699" s="338"/>
      <c r="T699" s="318"/>
      <c r="U699" s="169"/>
      <c r="V699" s="162"/>
      <c r="W699" s="162"/>
      <c r="X699" s="338"/>
      <c r="Y699" s="318"/>
      <c r="Z699" s="148"/>
      <c r="AA699" s="346"/>
      <c r="AB699" s="209"/>
      <c r="AC699" s="347"/>
      <c r="AD699" s="347"/>
      <c r="AE699" s="347"/>
      <c r="AF699" s="347"/>
      <c r="AG699" s="347"/>
      <c r="AH699" s="347"/>
      <c r="AI699" s="347"/>
      <c r="AJ699" s="347"/>
      <c r="AK699" s="347"/>
      <c r="AL699" s="347"/>
      <c r="AM699" s="347"/>
      <c r="AN699" s="347"/>
      <c r="AO699" s="209"/>
      <c r="AP699" s="347"/>
      <c r="AQ699" s="347"/>
      <c r="AR699" s="347"/>
      <c r="AS699" s="347"/>
      <c r="AT699" s="347"/>
      <c r="AU699" s="347"/>
      <c r="AV699" s="347"/>
      <c r="AW699" s="347"/>
      <c r="AX699" s="347"/>
      <c r="AY699" s="347"/>
      <c r="AZ699" s="347"/>
      <c r="BA699" s="347"/>
    </row>
    <row r="700" spans="1:53" s="348" customFormat="1" ht="12.75" customHeight="1" outlineLevel="1" x14ac:dyDescent="0.25">
      <c r="A700" s="341"/>
      <c r="B700" s="350" t="s">
        <v>1774</v>
      </c>
      <c r="C700" s="351" t="s">
        <v>1773</v>
      </c>
      <c r="D700" s="344"/>
      <c r="E700" s="344"/>
      <c r="F700" s="162"/>
      <c r="G700" s="162"/>
      <c r="H700" s="338"/>
      <c r="I700" s="318"/>
      <c r="J700" s="169"/>
      <c r="K700" s="162"/>
      <c r="L700" s="162"/>
      <c r="M700" s="338"/>
      <c r="N700" s="318"/>
      <c r="O700" s="170"/>
      <c r="P700" s="169"/>
      <c r="Q700" s="162"/>
      <c r="R700" s="162"/>
      <c r="S700" s="338"/>
      <c r="T700" s="318"/>
      <c r="U700" s="169"/>
      <c r="V700" s="162"/>
      <c r="W700" s="162"/>
      <c r="X700" s="338"/>
      <c r="Y700" s="318"/>
      <c r="Z700" s="148"/>
      <c r="AA700" s="346"/>
      <c r="AB700" s="209"/>
      <c r="AC700" s="347"/>
      <c r="AD700" s="347"/>
      <c r="AE700" s="347"/>
      <c r="AF700" s="347"/>
      <c r="AG700" s="347"/>
      <c r="AH700" s="347"/>
      <c r="AI700" s="347"/>
      <c r="AJ700" s="347"/>
      <c r="AK700" s="347"/>
      <c r="AL700" s="347"/>
      <c r="AM700" s="347"/>
      <c r="AN700" s="347"/>
      <c r="AO700" s="209"/>
      <c r="AP700" s="347"/>
      <c r="AQ700" s="347"/>
      <c r="AR700" s="347"/>
      <c r="AS700" s="347"/>
      <c r="AT700" s="347"/>
      <c r="AU700" s="347"/>
      <c r="AV700" s="347"/>
      <c r="AW700" s="347"/>
      <c r="AX700" s="347"/>
      <c r="AY700" s="347"/>
      <c r="AZ700" s="347"/>
      <c r="BA700" s="347"/>
    </row>
    <row r="701" spans="1:53" s="348" customFormat="1" ht="12.75" customHeight="1" outlineLevel="1" x14ac:dyDescent="0.25">
      <c r="A701" s="341"/>
      <c r="B701" s="352" t="s">
        <v>1775</v>
      </c>
      <c r="C701" s="351" t="s">
        <v>1776</v>
      </c>
      <c r="D701" s="344"/>
      <c r="E701" s="344"/>
      <c r="F701" s="162"/>
      <c r="G701" s="162"/>
      <c r="H701" s="338"/>
      <c r="I701" s="318"/>
      <c r="J701" s="169"/>
      <c r="K701" s="162"/>
      <c r="L701" s="162"/>
      <c r="M701" s="338"/>
      <c r="N701" s="318"/>
      <c r="O701" s="170"/>
      <c r="P701" s="169"/>
      <c r="Q701" s="162"/>
      <c r="R701" s="162"/>
      <c r="S701" s="338"/>
      <c r="T701" s="318"/>
      <c r="U701" s="169"/>
      <c r="V701" s="162"/>
      <c r="W701" s="162"/>
      <c r="X701" s="338"/>
      <c r="Y701" s="318"/>
      <c r="Z701" s="148"/>
      <c r="AA701" s="346"/>
      <c r="AB701" s="209"/>
      <c r="AC701" s="347"/>
      <c r="AD701" s="347"/>
      <c r="AE701" s="347"/>
      <c r="AF701" s="347"/>
      <c r="AG701" s="347"/>
      <c r="AH701" s="347"/>
      <c r="AI701" s="347"/>
      <c r="AJ701" s="347"/>
      <c r="AK701" s="347"/>
      <c r="AL701" s="347"/>
      <c r="AM701" s="347"/>
      <c r="AN701" s="347"/>
      <c r="AO701" s="209"/>
      <c r="AP701" s="347"/>
      <c r="AQ701" s="347"/>
      <c r="AR701" s="347"/>
      <c r="AS701" s="347"/>
      <c r="AT701" s="347"/>
      <c r="AU701" s="347"/>
      <c r="AV701" s="347"/>
      <c r="AW701" s="347"/>
      <c r="AX701" s="347"/>
      <c r="AY701" s="347"/>
      <c r="AZ701" s="347"/>
      <c r="BA701" s="347"/>
    </row>
    <row r="702" spans="1:53" s="348" customFormat="1" ht="12.75" customHeight="1" outlineLevel="1" x14ac:dyDescent="0.25">
      <c r="A702" s="341"/>
      <c r="B702" s="352" t="s">
        <v>1777</v>
      </c>
      <c r="C702" s="351" t="s">
        <v>1778</v>
      </c>
      <c r="D702" s="344"/>
      <c r="E702" s="344"/>
      <c r="F702" s="162"/>
      <c r="G702" s="162"/>
      <c r="H702" s="338"/>
      <c r="I702" s="318"/>
      <c r="J702" s="169"/>
      <c r="K702" s="162"/>
      <c r="L702" s="162"/>
      <c r="M702" s="338"/>
      <c r="N702" s="318"/>
      <c r="O702" s="170"/>
      <c r="P702" s="169"/>
      <c r="Q702" s="162"/>
      <c r="R702" s="162"/>
      <c r="S702" s="338"/>
      <c r="T702" s="318"/>
      <c r="U702" s="169"/>
      <c r="V702" s="162"/>
      <c r="W702" s="162"/>
      <c r="X702" s="338"/>
      <c r="Y702" s="318"/>
      <c r="Z702" s="148"/>
      <c r="AA702" s="346"/>
      <c r="AB702" s="209"/>
      <c r="AC702" s="347"/>
      <c r="AD702" s="347"/>
      <c r="AE702" s="347"/>
      <c r="AF702" s="347"/>
      <c r="AG702" s="347"/>
      <c r="AH702" s="347"/>
      <c r="AI702" s="347"/>
      <c r="AJ702" s="347"/>
      <c r="AK702" s="347"/>
      <c r="AL702" s="347"/>
      <c r="AM702" s="347"/>
      <c r="AN702" s="347"/>
      <c r="AO702" s="209"/>
      <c r="AP702" s="347"/>
      <c r="AQ702" s="347"/>
      <c r="AR702" s="347"/>
      <c r="AS702" s="347"/>
      <c r="AT702" s="347"/>
      <c r="AU702" s="347"/>
      <c r="AV702" s="347"/>
      <c r="AW702" s="347"/>
      <c r="AX702" s="347"/>
      <c r="AY702" s="347"/>
      <c r="AZ702" s="347"/>
      <c r="BA702" s="347"/>
    </row>
    <row r="703" spans="1:53" s="348" customFormat="1" ht="12.75" customHeight="1" outlineLevel="1" x14ac:dyDescent="0.25">
      <c r="A703" s="341"/>
      <c r="B703" s="352" t="s">
        <v>1779</v>
      </c>
      <c r="C703" s="351" t="s">
        <v>1780</v>
      </c>
      <c r="D703" s="344"/>
      <c r="E703" s="344"/>
      <c r="F703" s="162"/>
      <c r="G703" s="162"/>
      <c r="H703" s="338"/>
      <c r="I703" s="318"/>
      <c r="J703" s="169"/>
      <c r="K703" s="162"/>
      <c r="L703" s="162"/>
      <c r="M703" s="338"/>
      <c r="N703" s="318"/>
      <c r="O703" s="170"/>
      <c r="P703" s="169"/>
      <c r="Q703" s="162"/>
      <c r="R703" s="162"/>
      <c r="S703" s="338"/>
      <c r="T703" s="318"/>
      <c r="U703" s="169"/>
      <c r="V703" s="162"/>
      <c r="W703" s="162"/>
      <c r="X703" s="338"/>
      <c r="Y703" s="318"/>
      <c r="Z703" s="148"/>
      <c r="AA703" s="346"/>
      <c r="AB703" s="209"/>
      <c r="AC703" s="347"/>
      <c r="AD703" s="347"/>
      <c r="AE703" s="347"/>
      <c r="AF703" s="347"/>
      <c r="AG703" s="347"/>
      <c r="AH703" s="347"/>
      <c r="AI703" s="347"/>
      <c r="AJ703" s="347"/>
      <c r="AK703" s="347"/>
      <c r="AL703" s="347"/>
      <c r="AM703" s="347"/>
      <c r="AN703" s="347"/>
      <c r="AO703" s="209"/>
      <c r="AP703" s="347"/>
      <c r="AQ703" s="347"/>
      <c r="AR703" s="347"/>
      <c r="AS703" s="347"/>
      <c r="AT703" s="347"/>
      <c r="AU703" s="347"/>
      <c r="AV703" s="347"/>
      <c r="AW703" s="347"/>
      <c r="AX703" s="347"/>
      <c r="AY703" s="347"/>
      <c r="AZ703" s="347"/>
      <c r="BA703" s="347"/>
    </row>
    <row r="704" spans="1:53" s="348" customFormat="1" ht="12.75" customHeight="1" outlineLevel="1" x14ac:dyDescent="0.25">
      <c r="A704" s="341"/>
      <c r="B704" s="352" t="s">
        <v>1781</v>
      </c>
      <c r="C704" s="351" t="s">
        <v>1782</v>
      </c>
      <c r="D704" s="344"/>
      <c r="E704" s="344"/>
      <c r="F704" s="162"/>
      <c r="G704" s="162"/>
      <c r="H704" s="338"/>
      <c r="I704" s="318"/>
      <c r="J704" s="169"/>
      <c r="K704" s="162"/>
      <c r="L704" s="162"/>
      <c r="M704" s="338"/>
      <c r="N704" s="318"/>
      <c r="O704" s="170"/>
      <c r="P704" s="169"/>
      <c r="Q704" s="162"/>
      <c r="R704" s="162"/>
      <c r="S704" s="338"/>
      <c r="T704" s="318"/>
      <c r="U704" s="169"/>
      <c r="V704" s="162"/>
      <c r="W704" s="162"/>
      <c r="X704" s="338"/>
      <c r="Y704" s="318"/>
      <c r="Z704" s="148"/>
      <c r="AA704" s="346"/>
      <c r="AB704" s="209"/>
      <c r="AC704" s="347"/>
      <c r="AD704" s="347"/>
      <c r="AE704" s="347"/>
      <c r="AF704" s="347"/>
      <c r="AG704" s="347"/>
      <c r="AH704" s="347"/>
      <c r="AI704" s="347"/>
      <c r="AJ704" s="347"/>
      <c r="AK704" s="347"/>
      <c r="AL704" s="347"/>
      <c r="AM704" s="347"/>
      <c r="AN704" s="347"/>
      <c r="AO704" s="209"/>
      <c r="AP704" s="347"/>
      <c r="AQ704" s="347"/>
      <c r="AR704" s="347"/>
      <c r="AS704" s="347"/>
      <c r="AT704" s="347"/>
      <c r="AU704" s="347"/>
      <c r="AV704" s="347"/>
      <c r="AW704" s="347"/>
      <c r="AX704" s="347"/>
      <c r="AY704" s="347"/>
      <c r="AZ704" s="347"/>
      <c r="BA704" s="347"/>
    </row>
    <row r="705" spans="1:53" s="348" customFormat="1" ht="12.75" customHeight="1" outlineLevel="1" x14ac:dyDescent="0.25">
      <c r="A705" s="341"/>
      <c r="B705" s="352" t="s">
        <v>1783</v>
      </c>
      <c r="C705" s="351" t="s">
        <v>1784</v>
      </c>
      <c r="D705" s="344"/>
      <c r="E705" s="344"/>
      <c r="F705" s="162"/>
      <c r="G705" s="162"/>
      <c r="H705" s="338"/>
      <c r="I705" s="318"/>
      <c r="J705" s="169"/>
      <c r="K705" s="162"/>
      <c r="L705" s="162"/>
      <c r="M705" s="338"/>
      <c r="N705" s="318"/>
      <c r="O705" s="170"/>
      <c r="P705" s="169"/>
      <c r="Q705" s="162"/>
      <c r="R705" s="162"/>
      <c r="S705" s="338"/>
      <c r="T705" s="318"/>
      <c r="U705" s="169"/>
      <c r="V705" s="162"/>
      <c r="W705" s="162"/>
      <c r="X705" s="338"/>
      <c r="Y705" s="318"/>
      <c r="Z705" s="148"/>
      <c r="AA705" s="346"/>
      <c r="AB705" s="209"/>
      <c r="AC705" s="347"/>
      <c r="AD705" s="347"/>
      <c r="AE705" s="347"/>
      <c r="AF705" s="347"/>
      <c r="AG705" s="347"/>
      <c r="AH705" s="347"/>
      <c r="AI705" s="347"/>
      <c r="AJ705" s="347"/>
      <c r="AK705" s="347"/>
      <c r="AL705" s="347"/>
      <c r="AM705" s="347"/>
      <c r="AN705" s="347"/>
      <c r="AO705" s="209"/>
      <c r="AP705" s="347"/>
      <c r="AQ705" s="347"/>
      <c r="AR705" s="347"/>
      <c r="AS705" s="347"/>
      <c r="AT705" s="347"/>
      <c r="AU705" s="347"/>
      <c r="AV705" s="347"/>
      <c r="AW705" s="347"/>
      <c r="AX705" s="347"/>
      <c r="AY705" s="347"/>
      <c r="AZ705" s="347"/>
      <c r="BA705" s="347"/>
    </row>
    <row r="706" spans="1:53" s="348" customFormat="1" ht="12.75" customHeight="1" outlineLevel="1" x14ac:dyDescent="0.25">
      <c r="A706" s="341"/>
      <c r="B706" s="352" t="s">
        <v>1785</v>
      </c>
      <c r="C706" s="351" t="s">
        <v>1786</v>
      </c>
      <c r="D706" s="344"/>
      <c r="E706" s="344"/>
      <c r="F706" s="162"/>
      <c r="G706" s="162"/>
      <c r="H706" s="338"/>
      <c r="I706" s="318"/>
      <c r="J706" s="169"/>
      <c r="K706" s="162"/>
      <c r="L706" s="162"/>
      <c r="M706" s="338"/>
      <c r="N706" s="318"/>
      <c r="O706" s="170"/>
      <c r="P706" s="169"/>
      <c r="Q706" s="162"/>
      <c r="R706" s="162"/>
      <c r="S706" s="338"/>
      <c r="T706" s="318"/>
      <c r="U706" s="169"/>
      <c r="V706" s="162"/>
      <c r="W706" s="162"/>
      <c r="X706" s="338"/>
      <c r="Y706" s="318"/>
      <c r="Z706" s="148"/>
      <c r="AA706" s="346"/>
      <c r="AB706" s="209"/>
      <c r="AC706" s="347"/>
      <c r="AD706" s="347"/>
      <c r="AE706" s="347"/>
      <c r="AF706" s="347"/>
      <c r="AG706" s="347"/>
      <c r="AH706" s="347"/>
      <c r="AI706" s="347"/>
      <c r="AJ706" s="347"/>
      <c r="AK706" s="347"/>
      <c r="AL706" s="347"/>
      <c r="AM706" s="347"/>
      <c r="AN706" s="347"/>
      <c r="AO706" s="209"/>
      <c r="AP706" s="347"/>
      <c r="AQ706" s="347"/>
      <c r="AR706" s="347"/>
      <c r="AS706" s="347"/>
      <c r="AT706" s="347"/>
      <c r="AU706" s="347"/>
      <c r="AV706" s="347"/>
      <c r="AW706" s="347"/>
      <c r="AX706" s="347"/>
      <c r="AY706" s="347"/>
      <c r="AZ706" s="347"/>
      <c r="BA706" s="347"/>
    </row>
    <row r="707" spans="1:53" s="348" customFormat="1" ht="12.75" customHeight="1" outlineLevel="1" x14ac:dyDescent="0.25">
      <c r="A707" s="341"/>
      <c r="B707" s="352" t="s">
        <v>1787</v>
      </c>
      <c r="C707" s="351" t="s">
        <v>1788</v>
      </c>
      <c r="D707" s="344"/>
      <c r="E707" s="344"/>
      <c r="F707" s="162"/>
      <c r="G707" s="162"/>
      <c r="H707" s="338"/>
      <c r="I707" s="318"/>
      <c r="J707" s="169"/>
      <c r="K707" s="162"/>
      <c r="L707" s="162"/>
      <c r="M707" s="338"/>
      <c r="N707" s="318"/>
      <c r="O707" s="170"/>
      <c r="P707" s="169"/>
      <c r="Q707" s="162"/>
      <c r="R707" s="162"/>
      <c r="S707" s="338"/>
      <c r="T707" s="318"/>
      <c r="U707" s="169"/>
      <c r="V707" s="162"/>
      <c r="W707" s="162"/>
      <c r="X707" s="338"/>
      <c r="Y707" s="318"/>
      <c r="Z707" s="148"/>
      <c r="AA707" s="346"/>
      <c r="AB707" s="209"/>
      <c r="AC707" s="347"/>
      <c r="AD707" s="347"/>
      <c r="AE707" s="347"/>
      <c r="AF707" s="347"/>
      <c r="AG707" s="347"/>
      <c r="AH707" s="347"/>
      <c r="AI707" s="347"/>
      <c r="AJ707" s="347"/>
      <c r="AK707" s="347"/>
      <c r="AL707" s="347"/>
      <c r="AM707" s="347"/>
      <c r="AN707" s="347"/>
      <c r="AO707" s="209"/>
      <c r="AP707" s="347"/>
      <c r="AQ707" s="347"/>
      <c r="AR707" s="347"/>
      <c r="AS707" s="347"/>
      <c r="AT707" s="347"/>
      <c r="AU707" s="347"/>
      <c r="AV707" s="347"/>
      <c r="AW707" s="347"/>
      <c r="AX707" s="347"/>
      <c r="AY707" s="347"/>
      <c r="AZ707" s="347"/>
      <c r="BA707" s="347"/>
    </row>
    <row r="708" spans="1:53" s="348" customFormat="1" ht="12.75" customHeight="1" outlineLevel="1" x14ac:dyDescent="0.25">
      <c r="B708" s="352" t="s">
        <v>1789</v>
      </c>
      <c r="C708" s="351" t="s">
        <v>1790</v>
      </c>
      <c r="D708" s="344"/>
      <c r="E708" s="344"/>
      <c r="F708" s="162"/>
      <c r="G708" s="162"/>
      <c r="H708" s="338"/>
      <c r="I708" s="318"/>
      <c r="J708" s="169"/>
      <c r="K708" s="162"/>
      <c r="L708" s="162"/>
      <c r="M708" s="338"/>
      <c r="N708" s="318"/>
      <c r="O708" s="170"/>
      <c r="P708" s="169"/>
      <c r="Q708" s="162"/>
      <c r="R708" s="162"/>
      <c r="S708" s="338"/>
      <c r="T708" s="318"/>
      <c r="U708" s="169"/>
      <c r="V708" s="162"/>
      <c r="W708" s="162"/>
      <c r="X708" s="338"/>
      <c r="Y708" s="318"/>
      <c r="Z708" s="148"/>
      <c r="AA708" s="346"/>
      <c r="AB708" s="209"/>
      <c r="AC708" s="347"/>
      <c r="AD708" s="347"/>
      <c r="AE708" s="347"/>
      <c r="AF708" s="347"/>
      <c r="AG708" s="347"/>
      <c r="AH708" s="347"/>
      <c r="AI708" s="347"/>
      <c r="AJ708" s="347"/>
      <c r="AK708" s="347"/>
      <c r="AL708" s="347"/>
      <c r="AM708" s="347"/>
      <c r="AN708" s="347"/>
      <c r="AO708" s="209"/>
      <c r="AP708" s="347"/>
      <c r="AQ708" s="347"/>
      <c r="AR708" s="347"/>
      <c r="AS708" s="347"/>
      <c r="AT708" s="347"/>
      <c r="AU708" s="347"/>
      <c r="AV708" s="347"/>
      <c r="AW708" s="347"/>
      <c r="AX708" s="347"/>
      <c r="AY708" s="347"/>
      <c r="AZ708" s="347"/>
      <c r="BA708" s="347"/>
    </row>
    <row r="709" spans="1:53" s="348" customFormat="1" ht="12.75" customHeight="1" outlineLevel="1" x14ac:dyDescent="0.25">
      <c r="A709" s="301"/>
      <c r="B709" s="353" t="s">
        <v>1791</v>
      </c>
      <c r="C709" s="354" t="str">
        <f>UPPER(TEXT(NvsElapsedTime,"hh:mm:ss"))</f>
        <v>00:03:50</v>
      </c>
      <c r="D709" s="344"/>
      <c r="E709" s="344"/>
      <c r="F709" s="162"/>
      <c r="G709" s="162"/>
      <c r="H709" s="338"/>
      <c r="I709" s="318"/>
      <c r="J709" s="169"/>
      <c r="K709" s="162"/>
      <c r="L709" s="162"/>
      <c r="M709" s="338"/>
      <c r="N709" s="318"/>
      <c r="O709" s="170"/>
      <c r="P709" s="169"/>
      <c r="Q709" s="162"/>
      <c r="R709" s="162"/>
      <c r="S709" s="338"/>
      <c r="T709" s="318"/>
      <c r="U709" s="169"/>
      <c r="V709" s="162"/>
      <c r="W709" s="162"/>
      <c r="X709" s="338"/>
      <c r="Y709" s="318"/>
      <c r="Z709" s="148"/>
      <c r="AA709" s="346"/>
      <c r="AB709" s="209"/>
      <c r="AC709" s="347"/>
      <c r="AD709" s="347"/>
      <c r="AE709" s="347"/>
      <c r="AF709" s="347"/>
      <c r="AG709" s="347"/>
      <c r="AH709" s="347"/>
      <c r="AI709" s="347"/>
      <c r="AJ709" s="347"/>
      <c r="AK709" s="347"/>
      <c r="AL709" s="347"/>
      <c r="AM709" s="347"/>
      <c r="AN709" s="347"/>
      <c r="AO709" s="209"/>
      <c r="AP709" s="347"/>
      <c r="AQ709" s="347"/>
      <c r="AR709" s="347"/>
      <c r="AS709" s="347"/>
      <c r="AT709" s="347"/>
      <c r="AU709" s="347"/>
      <c r="AV709" s="347"/>
      <c r="AW709" s="347"/>
      <c r="AX709" s="347"/>
      <c r="AY709" s="347"/>
      <c r="AZ709" s="347"/>
      <c r="BA709" s="347"/>
    </row>
    <row r="710" spans="1:53" s="348" customFormat="1" x14ac:dyDescent="0.25">
      <c r="A710" s="151"/>
      <c r="B710" s="355" t="s">
        <v>1792</v>
      </c>
      <c r="C710" s="356"/>
      <c r="D710" s="344"/>
      <c r="E710" s="344"/>
      <c r="F710" s="162"/>
      <c r="G710" s="162"/>
      <c r="H710" s="338"/>
      <c r="I710" s="318"/>
      <c r="J710" s="169"/>
      <c r="K710" s="162"/>
      <c r="L710" s="162"/>
      <c r="M710" s="338"/>
      <c r="N710" s="318"/>
      <c r="O710" s="170"/>
      <c r="P710" s="169"/>
      <c r="Q710" s="162"/>
      <c r="R710" s="162"/>
      <c r="S710" s="338"/>
      <c r="T710" s="318"/>
      <c r="U710" s="169"/>
      <c r="V710" s="162"/>
      <c r="W710" s="162"/>
      <c r="X710" s="338"/>
      <c r="Y710" s="318"/>
      <c r="Z710" s="148"/>
      <c r="AA710" s="346"/>
      <c r="AB710" s="209"/>
      <c r="AC710" s="347"/>
      <c r="AD710" s="347"/>
      <c r="AE710" s="347"/>
      <c r="AF710" s="347"/>
      <c r="AG710" s="347"/>
      <c r="AH710" s="347"/>
      <c r="AI710" s="347"/>
      <c r="AJ710" s="347"/>
      <c r="AK710" s="347"/>
      <c r="AL710" s="347"/>
      <c r="AM710" s="347"/>
      <c r="AN710" s="347"/>
      <c r="AO710" s="209"/>
      <c r="AP710" s="347"/>
      <c r="AQ710" s="347"/>
      <c r="AR710" s="347"/>
      <c r="AS710" s="347"/>
      <c r="AT710" s="347"/>
      <c r="AU710" s="347"/>
      <c r="AV710" s="347"/>
      <c r="AW710" s="347"/>
      <c r="AX710" s="347"/>
      <c r="AY710" s="347"/>
      <c r="AZ710" s="347"/>
      <c r="BA710" s="347"/>
    </row>
  </sheetData>
  <conditionalFormatting sqref="C4">
    <cfRule type="cellIs" dxfId="0" priority="1" stopIfTrue="1" operator="equal">
      <formula>"REPORT HAS ERRORS"</formula>
    </cfRule>
  </conditionalFormatting>
  <printOptions horizontalCentered="1"/>
  <pageMargins left="0.25" right="0.25" top="0.5" bottom="0.5" header="0.25" footer="0.25"/>
  <pageSetup scale="13" fitToHeight="0" orientation="landscape" r:id="rId1"/>
  <headerFooter alignWithMargins="0">
    <oddFooter>&amp;L&amp;D&amp;CPage &amp;P of &amp;N&amp;R&amp;Z&amp;F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11"/>
  <sheetViews>
    <sheetView topLeftCell="E1" workbookViewId="0">
      <pane ySplit="1" topLeftCell="A65" activePane="bottomLeft" state="frozen"/>
      <selection activeCell="G26" sqref="G26"/>
      <selection pane="bottomLeft" activeCell="J113" sqref="J113"/>
    </sheetView>
  </sheetViews>
  <sheetFormatPr defaultRowHeight="13.2" x14ac:dyDescent="0.25"/>
  <cols>
    <col min="1" max="1" width="20.5546875" style="81" customWidth="1"/>
    <col min="2" max="2" width="9.5546875" style="81" customWidth="1"/>
    <col min="3" max="3" width="23.109375" style="81" customWidth="1"/>
    <col min="4" max="4" width="18.33203125" style="81" hidden="1" customWidth="1"/>
    <col min="5" max="5" width="18.33203125" style="81" customWidth="1"/>
    <col min="6" max="6" width="18.5546875" style="80" customWidth="1"/>
    <col min="7" max="7" width="14.109375" style="80" customWidth="1"/>
    <col min="8" max="8" width="9.109375" style="59"/>
    <col min="9" max="9" width="22.5546875" style="58" customWidth="1"/>
    <col min="10" max="10" width="12.5546875" style="58" customWidth="1"/>
    <col min="11" max="11" width="13.33203125" style="59" bestFit="1" customWidth="1"/>
    <col min="12" max="14" width="12.88671875" style="59" customWidth="1"/>
    <col min="15" max="15" width="16.5546875" style="59" customWidth="1"/>
    <col min="16" max="17" width="17.88671875" style="59" customWidth="1"/>
    <col min="18" max="18" width="26.109375" style="59" customWidth="1"/>
    <col min="19" max="19" width="29.33203125" style="59" customWidth="1"/>
    <col min="20" max="256" width="9.109375" style="59"/>
    <col min="257" max="257" width="20.5546875" style="59" customWidth="1"/>
    <col min="258" max="258" width="9.5546875" style="59" customWidth="1"/>
    <col min="259" max="259" width="23.109375" style="59" customWidth="1"/>
    <col min="260" max="260" width="0" style="59" hidden="1" customWidth="1"/>
    <col min="261" max="261" width="18.33203125" style="59" customWidth="1"/>
    <col min="262" max="262" width="18.5546875" style="59" customWidth="1"/>
    <col min="263" max="263" width="14.109375" style="59" customWidth="1"/>
    <col min="264" max="264" width="9.109375" style="59"/>
    <col min="265" max="265" width="22.5546875" style="59" customWidth="1"/>
    <col min="266" max="266" width="12.5546875" style="59" customWidth="1"/>
    <col min="267" max="267" width="13.33203125" style="59" bestFit="1" customWidth="1"/>
    <col min="268" max="270" width="12.88671875" style="59" customWidth="1"/>
    <col min="271" max="271" width="16.5546875" style="59" customWidth="1"/>
    <col min="272" max="273" width="17.88671875" style="59" customWidth="1"/>
    <col min="274" max="274" width="26.109375" style="59" customWidth="1"/>
    <col min="275" max="275" width="29.33203125" style="59" customWidth="1"/>
    <col min="276" max="512" width="9.109375" style="59"/>
    <col min="513" max="513" width="20.5546875" style="59" customWidth="1"/>
    <col min="514" max="514" width="9.5546875" style="59" customWidth="1"/>
    <col min="515" max="515" width="23.109375" style="59" customWidth="1"/>
    <col min="516" max="516" width="0" style="59" hidden="1" customWidth="1"/>
    <col min="517" max="517" width="18.33203125" style="59" customWidth="1"/>
    <col min="518" max="518" width="18.5546875" style="59" customWidth="1"/>
    <col min="519" max="519" width="14.109375" style="59" customWidth="1"/>
    <col min="520" max="520" width="9.109375" style="59"/>
    <col min="521" max="521" width="22.5546875" style="59" customWidth="1"/>
    <col min="522" max="522" width="12.5546875" style="59" customWidth="1"/>
    <col min="523" max="523" width="13.33203125" style="59" bestFit="1" customWidth="1"/>
    <col min="524" max="526" width="12.88671875" style="59" customWidth="1"/>
    <col min="527" max="527" width="16.5546875" style="59" customWidth="1"/>
    <col min="528" max="529" width="17.88671875" style="59" customWidth="1"/>
    <col min="530" max="530" width="26.109375" style="59" customWidth="1"/>
    <col min="531" max="531" width="29.33203125" style="59" customWidth="1"/>
    <col min="532" max="768" width="9.109375" style="59"/>
    <col min="769" max="769" width="20.5546875" style="59" customWidth="1"/>
    <col min="770" max="770" width="9.5546875" style="59" customWidth="1"/>
    <col min="771" max="771" width="23.109375" style="59" customWidth="1"/>
    <col min="772" max="772" width="0" style="59" hidden="1" customWidth="1"/>
    <col min="773" max="773" width="18.33203125" style="59" customWidth="1"/>
    <col min="774" max="774" width="18.5546875" style="59" customWidth="1"/>
    <col min="775" max="775" width="14.109375" style="59" customWidth="1"/>
    <col min="776" max="776" width="9.109375" style="59"/>
    <col min="777" max="777" width="22.5546875" style="59" customWidth="1"/>
    <col min="778" max="778" width="12.5546875" style="59" customWidth="1"/>
    <col min="779" max="779" width="13.33203125" style="59" bestFit="1" customWidth="1"/>
    <col min="780" max="782" width="12.88671875" style="59" customWidth="1"/>
    <col min="783" max="783" width="16.5546875" style="59" customWidth="1"/>
    <col min="784" max="785" width="17.88671875" style="59" customWidth="1"/>
    <col min="786" max="786" width="26.109375" style="59" customWidth="1"/>
    <col min="787" max="787" width="29.33203125" style="59" customWidth="1"/>
    <col min="788" max="1024" width="9.109375" style="59"/>
    <col min="1025" max="1025" width="20.5546875" style="59" customWidth="1"/>
    <col min="1026" max="1026" width="9.5546875" style="59" customWidth="1"/>
    <col min="1027" max="1027" width="23.109375" style="59" customWidth="1"/>
    <col min="1028" max="1028" width="0" style="59" hidden="1" customWidth="1"/>
    <col min="1029" max="1029" width="18.33203125" style="59" customWidth="1"/>
    <col min="1030" max="1030" width="18.5546875" style="59" customWidth="1"/>
    <col min="1031" max="1031" width="14.109375" style="59" customWidth="1"/>
    <col min="1032" max="1032" width="9.109375" style="59"/>
    <col min="1033" max="1033" width="22.5546875" style="59" customWidth="1"/>
    <col min="1034" max="1034" width="12.5546875" style="59" customWidth="1"/>
    <col min="1035" max="1035" width="13.33203125" style="59" bestFit="1" customWidth="1"/>
    <col min="1036" max="1038" width="12.88671875" style="59" customWidth="1"/>
    <col min="1039" max="1039" width="16.5546875" style="59" customWidth="1"/>
    <col min="1040" max="1041" width="17.88671875" style="59" customWidth="1"/>
    <col min="1042" max="1042" width="26.109375" style="59" customWidth="1"/>
    <col min="1043" max="1043" width="29.33203125" style="59" customWidth="1"/>
    <col min="1044" max="1280" width="9.109375" style="59"/>
    <col min="1281" max="1281" width="20.5546875" style="59" customWidth="1"/>
    <col min="1282" max="1282" width="9.5546875" style="59" customWidth="1"/>
    <col min="1283" max="1283" width="23.109375" style="59" customWidth="1"/>
    <col min="1284" max="1284" width="0" style="59" hidden="1" customWidth="1"/>
    <col min="1285" max="1285" width="18.33203125" style="59" customWidth="1"/>
    <col min="1286" max="1286" width="18.5546875" style="59" customWidth="1"/>
    <col min="1287" max="1287" width="14.109375" style="59" customWidth="1"/>
    <col min="1288" max="1288" width="9.109375" style="59"/>
    <col min="1289" max="1289" width="22.5546875" style="59" customWidth="1"/>
    <col min="1290" max="1290" width="12.5546875" style="59" customWidth="1"/>
    <col min="1291" max="1291" width="13.33203125" style="59" bestFit="1" customWidth="1"/>
    <col min="1292" max="1294" width="12.88671875" style="59" customWidth="1"/>
    <col min="1295" max="1295" width="16.5546875" style="59" customWidth="1"/>
    <col min="1296" max="1297" width="17.88671875" style="59" customWidth="1"/>
    <col min="1298" max="1298" width="26.109375" style="59" customWidth="1"/>
    <col min="1299" max="1299" width="29.33203125" style="59" customWidth="1"/>
    <col min="1300" max="1536" width="9.109375" style="59"/>
    <col min="1537" max="1537" width="20.5546875" style="59" customWidth="1"/>
    <col min="1538" max="1538" width="9.5546875" style="59" customWidth="1"/>
    <col min="1539" max="1539" width="23.109375" style="59" customWidth="1"/>
    <col min="1540" max="1540" width="0" style="59" hidden="1" customWidth="1"/>
    <col min="1541" max="1541" width="18.33203125" style="59" customWidth="1"/>
    <col min="1542" max="1542" width="18.5546875" style="59" customWidth="1"/>
    <col min="1543" max="1543" width="14.109375" style="59" customWidth="1"/>
    <col min="1544" max="1544" width="9.109375" style="59"/>
    <col min="1545" max="1545" width="22.5546875" style="59" customWidth="1"/>
    <col min="1546" max="1546" width="12.5546875" style="59" customWidth="1"/>
    <col min="1547" max="1547" width="13.33203125" style="59" bestFit="1" customWidth="1"/>
    <col min="1548" max="1550" width="12.88671875" style="59" customWidth="1"/>
    <col min="1551" max="1551" width="16.5546875" style="59" customWidth="1"/>
    <col min="1552" max="1553" width="17.88671875" style="59" customWidth="1"/>
    <col min="1554" max="1554" width="26.109375" style="59" customWidth="1"/>
    <col min="1555" max="1555" width="29.33203125" style="59" customWidth="1"/>
    <col min="1556" max="1792" width="9.109375" style="59"/>
    <col min="1793" max="1793" width="20.5546875" style="59" customWidth="1"/>
    <col min="1794" max="1794" width="9.5546875" style="59" customWidth="1"/>
    <col min="1795" max="1795" width="23.109375" style="59" customWidth="1"/>
    <col min="1796" max="1796" width="0" style="59" hidden="1" customWidth="1"/>
    <col min="1797" max="1797" width="18.33203125" style="59" customWidth="1"/>
    <col min="1798" max="1798" width="18.5546875" style="59" customWidth="1"/>
    <col min="1799" max="1799" width="14.109375" style="59" customWidth="1"/>
    <col min="1800" max="1800" width="9.109375" style="59"/>
    <col min="1801" max="1801" width="22.5546875" style="59" customWidth="1"/>
    <col min="1802" max="1802" width="12.5546875" style="59" customWidth="1"/>
    <col min="1803" max="1803" width="13.33203125" style="59" bestFit="1" customWidth="1"/>
    <col min="1804" max="1806" width="12.88671875" style="59" customWidth="1"/>
    <col min="1807" max="1807" width="16.5546875" style="59" customWidth="1"/>
    <col min="1808" max="1809" width="17.88671875" style="59" customWidth="1"/>
    <col min="1810" max="1810" width="26.109375" style="59" customWidth="1"/>
    <col min="1811" max="1811" width="29.33203125" style="59" customWidth="1"/>
    <col min="1812" max="2048" width="9.109375" style="59"/>
    <col min="2049" max="2049" width="20.5546875" style="59" customWidth="1"/>
    <col min="2050" max="2050" width="9.5546875" style="59" customWidth="1"/>
    <col min="2051" max="2051" width="23.109375" style="59" customWidth="1"/>
    <col min="2052" max="2052" width="0" style="59" hidden="1" customWidth="1"/>
    <col min="2053" max="2053" width="18.33203125" style="59" customWidth="1"/>
    <col min="2054" max="2054" width="18.5546875" style="59" customWidth="1"/>
    <col min="2055" max="2055" width="14.109375" style="59" customWidth="1"/>
    <col min="2056" max="2056" width="9.109375" style="59"/>
    <col min="2057" max="2057" width="22.5546875" style="59" customWidth="1"/>
    <col min="2058" max="2058" width="12.5546875" style="59" customWidth="1"/>
    <col min="2059" max="2059" width="13.33203125" style="59" bestFit="1" customWidth="1"/>
    <col min="2060" max="2062" width="12.88671875" style="59" customWidth="1"/>
    <col min="2063" max="2063" width="16.5546875" style="59" customWidth="1"/>
    <col min="2064" max="2065" width="17.88671875" style="59" customWidth="1"/>
    <col min="2066" max="2066" width="26.109375" style="59" customWidth="1"/>
    <col min="2067" max="2067" width="29.33203125" style="59" customWidth="1"/>
    <col min="2068" max="2304" width="9.109375" style="59"/>
    <col min="2305" max="2305" width="20.5546875" style="59" customWidth="1"/>
    <col min="2306" max="2306" width="9.5546875" style="59" customWidth="1"/>
    <col min="2307" max="2307" width="23.109375" style="59" customWidth="1"/>
    <col min="2308" max="2308" width="0" style="59" hidden="1" customWidth="1"/>
    <col min="2309" max="2309" width="18.33203125" style="59" customWidth="1"/>
    <col min="2310" max="2310" width="18.5546875" style="59" customWidth="1"/>
    <col min="2311" max="2311" width="14.109375" style="59" customWidth="1"/>
    <col min="2312" max="2312" width="9.109375" style="59"/>
    <col min="2313" max="2313" width="22.5546875" style="59" customWidth="1"/>
    <col min="2314" max="2314" width="12.5546875" style="59" customWidth="1"/>
    <col min="2315" max="2315" width="13.33203125" style="59" bestFit="1" customWidth="1"/>
    <col min="2316" max="2318" width="12.88671875" style="59" customWidth="1"/>
    <col min="2319" max="2319" width="16.5546875" style="59" customWidth="1"/>
    <col min="2320" max="2321" width="17.88671875" style="59" customWidth="1"/>
    <col min="2322" max="2322" width="26.109375" style="59" customWidth="1"/>
    <col min="2323" max="2323" width="29.33203125" style="59" customWidth="1"/>
    <col min="2324" max="2560" width="9.109375" style="59"/>
    <col min="2561" max="2561" width="20.5546875" style="59" customWidth="1"/>
    <col min="2562" max="2562" width="9.5546875" style="59" customWidth="1"/>
    <col min="2563" max="2563" width="23.109375" style="59" customWidth="1"/>
    <col min="2564" max="2564" width="0" style="59" hidden="1" customWidth="1"/>
    <col min="2565" max="2565" width="18.33203125" style="59" customWidth="1"/>
    <col min="2566" max="2566" width="18.5546875" style="59" customWidth="1"/>
    <col min="2567" max="2567" width="14.109375" style="59" customWidth="1"/>
    <col min="2568" max="2568" width="9.109375" style="59"/>
    <col min="2569" max="2569" width="22.5546875" style="59" customWidth="1"/>
    <col min="2570" max="2570" width="12.5546875" style="59" customWidth="1"/>
    <col min="2571" max="2571" width="13.33203125" style="59" bestFit="1" customWidth="1"/>
    <col min="2572" max="2574" width="12.88671875" style="59" customWidth="1"/>
    <col min="2575" max="2575" width="16.5546875" style="59" customWidth="1"/>
    <col min="2576" max="2577" width="17.88671875" style="59" customWidth="1"/>
    <col min="2578" max="2578" width="26.109375" style="59" customWidth="1"/>
    <col min="2579" max="2579" width="29.33203125" style="59" customWidth="1"/>
    <col min="2580" max="2816" width="9.109375" style="59"/>
    <col min="2817" max="2817" width="20.5546875" style="59" customWidth="1"/>
    <col min="2818" max="2818" width="9.5546875" style="59" customWidth="1"/>
    <col min="2819" max="2819" width="23.109375" style="59" customWidth="1"/>
    <col min="2820" max="2820" width="0" style="59" hidden="1" customWidth="1"/>
    <col min="2821" max="2821" width="18.33203125" style="59" customWidth="1"/>
    <col min="2822" max="2822" width="18.5546875" style="59" customWidth="1"/>
    <col min="2823" max="2823" width="14.109375" style="59" customWidth="1"/>
    <col min="2824" max="2824" width="9.109375" style="59"/>
    <col min="2825" max="2825" width="22.5546875" style="59" customWidth="1"/>
    <col min="2826" max="2826" width="12.5546875" style="59" customWidth="1"/>
    <col min="2827" max="2827" width="13.33203125" style="59" bestFit="1" customWidth="1"/>
    <col min="2828" max="2830" width="12.88671875" style="59" customWidth="1"/>
    <col min="2831" max="2831" width="16.5546875" style="59" customWidth="1"/>
    <col min="2832" max="2833" width="17.88671875" style="59" customWidth="1"/>
    <col min="2834" max="2834" width="26.109375" style="59" customWidth="1"/>
    <col min="2835" max="2835" width="29.33203125" style="59" customWidth="1"/>
    <col min="2836" max="3072" width="9.109375" style="59"/>
    <col min="3073" max="3073" width="20.5546875" style="59" customWidth="1"/>
    <col min="3074" max="3074" width="9.5546875" style="59" customWidth="1"/>
    <col min="3075" max="3075" width="23.109375" style="59" customWidth="1"/>
    <col min="3076" max="3076" width="0" style="59" hidden="1" customWidth="1"/>
    <col min="3077" max="3077" width="18.33203125" style="59" customWidth="1"/>
    <col min="3078" max="3078" width="18.5546875" style="59" customWidth="1"/>
    <col min="3079" max="3079" width="14.109375" style="59" customWidth="1"/>
    <col min="3080" max="3080" width="9.109375" style="59"/>
    <col min="3081" max="3081" width="22.5546875" style="59" customWidth="1"/>
    <col min="3082" max="3082" width="12.5546875" style="59" customWidth="1"/>
    <col min="3083" max="3083" width="13.33203125" style="59" bestFit="1" customWidth="1"/>
    <col min="3084" max="3086" width="12.88671875" style="59" customWidth="1"/>
    <col min="3087" max="3087" width="16.5546875" style="59" customWidth="1"/>
    <col min="3088" max="3089" width="17.88671875" style="59" customWidth="1"/>
    <col min="3090" max="3090" width="26.109375" style="59" customWidth="1"/>
    <col min="3091" max="3091" width="29.33203125" style="59" customWidth="1"/>
    <col min="3092" max="3328" width="9.109375" style="59"/>
    <col min="3329" max="3329" width="20.5546875" style="59" customWidth="1"/>
    <col min="3330" max="3330" width="9.5546875" style="59" customWidth="1"/>
    <col min="3331" max="3331" width="23.109375" style="59" customWidth="1"/>
    <col min="3332" max="3332" width="0" style="59" hidden="1" customWidth="1"/>
    <col min="3333" max="3333" width="18.33203125" style="59" customWidth="1"/>
    <col min="3334" max="3334" width="18.5546875" style="59" customWidth="1"/>
    <col min="3335" max="3335" width="14.109375" style="59" customWidth="1"/>
    <col min="3336" max="3336" width="9.109375" style="59"/>
    <col min="3337" max="3337" width="22.5546875" style="59" customWidth="1"/>
    <col min="3338" max="3338" width="12.5546875" style="59" customWidth="1"/>
    <col min="3339" max="3339" width="13.33203125" style="59" bestFit="1" customWidth="1"/>
    <col min="3340" max="3342" width="12.88671875" style="59" customWidth="1"/>
    <col min="3343" max="3343" width="16.5546875" style="59" customWidth="1"/>
    <col min="3344" max="3345" width="17.88671875" style="59" customWidth="1"/>
    <col min="3346" max="3346" width="26.109375" style="59" customWidth="1"/>
    <col min="3347" max="3347" width="29.33203125" style="59" customWidth="1"/>
    <col min="3348" max="3584" width="9.109375" style="59"/>
    <col min="3585" max="3585" width="20.5546875" style="59" customWidth="1"/>
    <col min="3586" max="3586" width="9.5546875" style="59" customWidth="1"/>
    <col min="3587" max="3587" width="23.109375" style="59" customWidth="1"/>
    <col min="3588" max="3588" width="0" style="59" hidden="1" customWidth="1"/>
    <col min="3589" max="3589" width="18.33203125" style="59" customWidth="1"/>
    <col min="3590" max="3590" width="18.5546875" style="59" customWidth="1"/>
    <col min="3591" max="3591" width="14.109375" style="59" customWidth="1"/>
    <col min="3592" max="3592" width="9.109375" style="59"/>
    <col min="3593" max="3593" width="22.5546875" style="59" customWidth="1"/>
    <col min="3594" max="3594" width="12.5546875" style="59" customWidth="1"/>
    <col min="3595" max="3595" width="13.33203125" style="59" bestFit="1" customWidth="1"/>
    <col min="3596" max="3598" width="12.88671875" style="59" customWidth="1"/>
    <col min="3599" max="3599" width="16.5546875" style="59" customWidth="1"/>
    <col min="3600" max="3601" width="17.88671875" style="59" customWidth="1"/>
    <col min="3602" max="3602" width="26.109375" style="59" customWidth="1"/>
    <col min="3603" max="3603" width="29.33203125" style="59" customWidth="1"/>
    <col min="3604" max="3840" width="9.109375" style="59"/>
    <col min="3841" max="3841" width="20.5546875" style="59" customWidth="1"/>
    <col min="3842" max="3842" width="9.5546875" style="59" customWidth="1"/>
    <col min="3843" max="3843" width="23.109375" style="59" customWidth="1"/>
    <col min="3844" max="3844" width="0" style="59" hidden="1" customWidth="1"/>
    <col min="3845" max="3845" width="18.33203125" style="59" customWidth="1"/>
    <col min="3846" max="3846" width="18.5546875" style="59" customWidth="1"/>
    <col min="3847" max="3847" width="14.109375" style="59" customWidth="1"/>
    <col min="3848" max="3848" width="9.109375" style="59"/>
    <col min="3849" max="3849" width="22.5546875" style="59" customWidth="1"/>
    <col min="3850" max="3850" width="12.5546875" style="59" customWidth="1"/>
    <col min="3851" max="3851" width="13.33203125" style="59" bestFit="1" customWidth="1"/>
    <col min="3852" max="3854" width="12.88671875" style="59" customWidth="1"/>
    <col min="3855" max="3855" width="16.5546875" style="59" customWidth="1"/>
    <col min="3856" max="3857" width="17.88671875" style="59" customWidth="1"/>
    <col min="3858" max="3858" width="26.109375" style="59" customWidth="1"/>
    <col min="3859" max="3859" width="29.33203125" style="59" customWidth="1"/>
    <col min="3860" max="4096" width="9.109375" style="59"/>
    <col min="4097" max="4097" width="20.5546875" style="59" customWidth="1"/>
    <col min="4098" max="4098" width="9.5546875" style="59" customWidth="1"/>
    <col min="4099" max="4099" width="23.109375" style="59" customWidth="1"/>
    <col min="4100" max="4100" width="0" style="59" hidden="1" customWidth="1"/>
    <col min="4101" max="4101" width="18.33203125" style="59" customWidth="1"/>
    <col min="4102" max="4102" width="18.5546875" style="59" customWidth="1"/>
    <col min="4103" max="4103" width="14.109375" style="59" customWidth="1"/>
    <col min="4104" max="4104" width="9.109375" style="59"/>
    <col min="4105" max="4105" width="22.5546875" style="59" customWidth="1"/>
    <col min="4106" max="4106" width="12.5546875" style="59" customWidth="1"/>
    <col min="4107" max="4107" width="13.33203125" style="59" bestFit="1" customWidth="1"/>
    <col min="4108" max="4110" width="12.88671875" style="59" customWidth="1"/>
    <col min="4111" max="4111" width="16.5546875" style="59" customWidth="1"/>
    <col min="4112" max="4113" width="17.88671875" style="59" customWidth="1"/>
    <col min="4114" max="4114" width="26.109375" style="59" customWidth="1"/>
    <col min="4115" max="4115" width="29.33203125" style="59" customWidth="1"/>
    <col min="4116" max="4352" width="9.109375" style="59"/>
    <col min="4353" max="4353" width="20.5546875" style="59" customWidth="1"/>
    <col min="4354" max="4354" width="9.5546875" style="59" customWidth="1"/>
    <col min="4355" max="4355" width="23.109375" style="59" customWidth="1"/>
    <col min="4356" max="4356" width="0" style="59" hidden="1" customWidth="1"/>
    <col min="4357" max="4357" width="18.33203125" style="59" customWidth="1"/>
    <col min="4358" max="4358" width="18.5546875" style="59" customWidth="1"/>
    <col min="4359" max="4359" width="14.109375" style="59" customWidth="1"/>
    <col min="4360" max="4360" width="9.109375" style="59"/>
    <col min="4361" max="4361" width="22.5546875" style="59" customWidth="1"/>
    <col min="4362" max="4362" width="12.5546875" style="59" customWidth="1"/>
    <col min="4363" max="4363" width="13.33203125" style="59" bestFit="1" customWidth="1"/>
    <col min="4364" max="4366" width="12.88671875" style="59" customWidth="1"/>
    <col min="4367" max="4367" width="16.5546875" style="59" customWidth="1"/>
    <col min="4368" max="4369" width="17.88671875" style="59" customWidth="1"/>
    <col min="4370" max="4370" width="26.109375" style="59" customWidth="1"/>
    <col min="4371" max="4371" width="29.33203125" style="59" customWidth="1"/>
    <col min="4372" max="4608" width="9.109375" style="59"/>
    <col min="4609" max="4609" width="20.5546875" style="59" customWidth="1"/>
    <col min="4610" max="4610" width="9.5546875" style="59" customWidth="1"/>
    <col min="4611" max="4611" width="23.109375" style="59" customWidth="1"/>
    <col min="4612" max="4612" width="0" style="59" hidden="1" customWidth="1"/>
    <col min="4613" max="4613" width="18.33203125" style="59" customWidth="1"/>
    <col min="4614" max="4614" width="18.5546875" style="59" customWidth="1"/>
    <col min="4615" max="4615" width="14.109375" style="59" customWidth="1"/>
    <col min="4616" max="4616" width="9.109375" style="59"/>
    <col min="4617" max="4617" width="22.5546875" style="59" customWidth="1"/>
    <col min="4618" max="4618" width="12.5546875" style="59" customWidth="1"/>
    <col min="4619" max="4619" width="13.33203125" style="59" bestFit="1" customWidth="1"/>
    <col min="4620" max="4622" width="12.88671875" style="59" customWidth="1"/>
    <col min="4623" max="4623" width="16.5546875" style="59" customWidth="1"/>
    <col min="4624" max="4625" width="17.88671875" style="59" customWidth="1"/>
    <col min="4626" max="4626" width="26.109375" style="59" customWidth="1"/>
    <col min="4627" max="4627" width="29.33203125" style="59" customWidth="1"/>
    <col min="4628" max="4864" width="9.109375" style="59"/>
    <col min="4865" max="4865" width="20.5546875" style="59" customWidth="1"/>
    <col min="4866" max="4866" width="9.5546875" style="59" customWidth="1"/>
    <col min="4867" max="4867" width="23.109375" style="59" customWidth="1"/>
    <col min="4868" max="4868" width="0" style="59" hidden="1" customWidth="1"/>
    <col min="4869" max="4869" width="18.33203125" style="59" customWidth="1"/>
    <col min="4870" max="4870" width="18.5546875" style="59" customWidth="1"/>
    <col min="4871" max="4871" width="14.109375" style="59" customWidth="1"/>
    <col min="4872" max="4872" width="9.109375" style="59"/>
    <col min="4873" max="4873" width="22.5546875" style="59" customWidth="1"/>
    <col min="4874" max="4874" width="12.5546875" style="59" customWidth="1"/>
    <col min="4875" max="4875" width="13.33203125" style="59" bestFit="1" customWidth="1"/>
    <col min="4876" max="4878" width="12.88671875" style="59" customWidth="1"/>
    <col min="4879" max="4879" width="16.5546875" style="59" customWidth="1"/>
    <col min="4880" max="4881" width="17.88671875" style="59" customWidth="1"/>
    <col min="4882" max="4882" width="26.109375" style="59" customWidth="1"/>
    <col min="4883" max="4883" width="29.33203125" style="59" customWidth="1"/>
    <col min="4884" max="5120" width="9.109375" style="59"/>
    <col min="5121" max="5121" width="20.5546875" style="59" customWidth="1"/>
    <col min="5122" max="5122" width="9.5546875" style="59" customWidth="1"/>
    <col min="5123" max="5123" width="23.109375" style="59" customWidth="1"/>
    <col min="5124" max="5124" width="0" style="59" hidden="1" customWidth="1"/>
    <col min="5125" max="5125" width="18.33203125" style="59" customWidth="1"/>
    <col min="5126" max="5126" width="18.5546875" style="59" customWidth="1"/>
    <col min="5127" max="5127" width="14.109375" style="59" customWidth="1"/>
    <col min="5128" max="5128" width="9.109375" style="59"/>
    <col min="5129" max="5129" width="22.5546875" style="59" customWidth="1"/>
    <col min="5130" max="5130" width="12.5546875" style="59" customWidth="1"/>
    <col min="5131" max="5131" width="13.33203125" style="59" bestFit="1" customWidth="1"/>
    <col min="5132" max="5134" width="12.88671875" style="59" customWidth="1"/>
    <col min="5135" max="5135" width="16.5546875" style="59" customWidth="1"/>
    <col min="5136" max="5137" width="17.88671875" style="59" customWidth="1"/>
    <col min="5138" max="5138" width="26.109375" style="59" customWidth="1"/>
    <col min="5139" max="5139" width="29.33203125" style="59" customWidth="1"/>
    <col min="5140" max="5376" width="9.109375" style="59"/>
    <col min="5377" max="5377" width="20.5546875" style="59" customWidth="1"/>
    <col min="5378" max="5378" width="9.5546875" style="59" customWidth="1"/>
    <col min="5379" max="5379" width="23.109375" style="59" customWidth="1"/>
    <col min="5380" max="5380" width="0" style="59" hidden="1" customWidth="1"/>
    <col min="5381" max="5381" width="18.33203125" style="59" customWidth="1"/>
    <col min="5382" max="5382" width="18.5546875" style="59" customWidth="1"/>
    <col min="5383" max="5383" width="14.109375" style="59" customWidth="1"/>
    <col min="5384" max="5384" width="9.109375" style="59"/>
    <col min="5385" max="5385" width="22.5546875" style="59" customWidth="1"/>
    <col min="5386" max="5386" width="12.5546875" style="59" customWidth="1"/>
    <col min="5387" max="5387" width="13.33203125" style="59" bestFit="1" customWidth="1"/>
    <col min="5388" max="5390" width="12.88671875" style="59" customWidth="1"/>
    <col min="5391" max="5391" width="16.5546875" style="59" customWidth="1"/>
    <col min="5392" max="5393" width="17.88671875" style="59" customWidth="1"/>
    <col min="5394" max="5394" width="26.109375" style="59" customWidth="1"/>
    <col min="5395" max="5395" width="29.33203125" style="59" customWidth="1"/>
    <col min="5396" max="5632" width="9.109375" style="59"/>
    <col min="5633" max="5633" width="20.5546875" style="59" customWidth="1"/>
    <col min="5634" max="5634" width="9.5546875" style="59" customWidth="1"/>
    <col min="5635" max="5635" width="23.109375" style="59" customWidth="1"/>
    <col min="5636" max="5636" width="0" style="59" hidden="1" customWidth="1"/>
    <col min="5637" max="5637" width="18.33203125" style="59" customWidth="1"/>
    <col min="5638" max="5638" width="18.5546875" style="59" customWidth="1"/>
    <col min="5639" max="5639" width="14.109375" style="59" customWidth="1"/>
    <col min="5640" max="5640" width="9.109375" style="59"/>
    <col min="5641" max="5641" width="22.5546875" style="59" customWidth="1"/>
    <col min="5642" max="5642" width="12.5546875" style="59" customWidth="1"/>
    <col min="5643" max="5643" width="13.33203125" style="59" bestFit="1" customWidth="1"/>
    <col min="5644" max="5646" width="12.88671875" style="59" customWidth="1"/>
    <col min="5647" max="5647" width="16.5546875" style="59" customWidth="1"/>
    <col min="5648" max="5649" width="17.88671875" style="59" customWidth="1"/>
    <col min="5650" max="5650" width="26.109375" style="59" customWidth="1"/>
    <col min="5651" max="5651" width="29.33203125" style="59" customWidth="1"/>
    <col min="5652" max="5888" width="9.109375" style="59"/>
    <col min="5889" max="5889" width="20.5546875" style="59" customWidth="1"/>
    <col min="5890" max="5890" width="9.5546875" style="59" customWidth="1"/>
    <col min="5891" max="5891" width="23.109375" style="59" customWidth="1"/>
    <col min="5892" max="5892" width="0" style="59" hidden="1" customWidth="1"/>
    <col min="5893" max="5893" width="18.33203125" style="59" customWidth="1"/>
    <col min="5894" max="5894" width="18.5546875" style="59" customWidth="1"/>
    <col min="5895" max="5895" width="14.109375" style="59" customWidth="1"/>
    <col min="5896" max="5896" width="9.109375" style="59"/>
    <col min="5897" max="5897" width="22.5546875" style="59" customWidth="1"/>
    <col min="5898" max="5898" width="12.5546875" style="59" customWidth="1"/>
    <col min="5899" max="5899" width="13.33203125" style="59" bestFit="1" customWidth="1"/>
    <col min="5900" max="5902" width="12.88671875" style="59" customWidth="1"/>
    <col min="5903" max="5903" width="16.5546875" style="59" customWidth="1"/>
    <col min="5904" max="5905" width="17.88671875" style="59" customWidth="1"/>
    <col min="5906" max="5906" width="26.109375" style="59" customWidth="1"/>
    <col min="5907" max="5907" width="29.33203125" style="59" customWidth="1"/>
    <col min="5908" max="6144" width="9.109375" style="59"/>
    <col min="6145" max="6145" width="20.5546875" style="59" customWidth="1"/>
    <col min="6146" max="6146" width="9.5546875" style="59" customWidth="1"/>
    <col min="6147" max="6147" width="23.109375" style="59" customWidth="1"/>
    <col min="6148" max="6148" width="0" style="59" hidden="1" customWidth="1"/>
    <col min="6149" max="6149" width="18.33203125" style="59" customWidth="1"/>
    <col min="6150" max="6150" width="18.5546875" style="59" customWidth="1"/>
    <col min="6151" max="6151" width="14.109375" style="59" customWidth="1"/>
    <col min="6152" max="6152" width="9.109375" style="59"/>
    <col min="6153" max="6153" width="22.5546875" style="59" customWidth="1"/>
    <col min="6154" max="6154" width="12.5546875" style="59" customWidth="1"/>
    <col min="6155" max="6155" width="13.33203125" style="59" bestFit="1" customWidth="1"/>
    <col min="6156" max="6158" width="12.88671875" style="59" customWidth="1"/>
    <col min="6159" max="6159" width="16.5546875" style="59" customWidth="1"/>
    <col min="6160" max="6161" width="17.88671875" style="59" customWidth="1"/>
    <col min="6162" max="6162" width="26.109375" style="59" customWidth="1"/>
    <col min="6163" max="6163" width="29.33203125" style="59" customWidth="1"/>
    <col min="6164" max="6400" width="9.109375" style="59"/>
    <col min="6401" max="6401" width="20.5546875" style="59" customWidth="1"/>
    <col min="6402" max="6402" width="9.5546875" style="59" customWidth="1"/>
    <col min="6403" max="6403" width="23.109375" style="59" customWidth="1"/>
    <col min="6404" max="6404" width="0" style="59" hidden="1" customWidth="1"/>
    <col min="6405" max="6405" width="18.33203125" style="59" customWidth="1"/>
    <col min="6406" max="6406" width="18.5546875" style="59" customWidth="1"/>
    <col min="6407" max="6407" width="14.109375" style="59" customWidth="1"/>
    <col min="6408" max="6408" width="9.109375" style="59"/>
    <col min="6409" max="6409" width="22.5546875" style="59" customWidth="1"/>
    <col min="6410" max="6410" width="12.5546875" style="59" customWidth="1"/>
    <col min="6411" max="6411" width="13.33203125" style="59" bestFit="1" customWidth="1"/>
    <col min="6412" max="6414" width="12.88671875" style="59" customWidth="1"/>
    <col min="6415" max="6415" width="16.5546875" style="59" customWidth="1"/>
    <col min="6416" max="6417" width="17.88671875" style="59" customWidth="1"/>
    <col min="6418" max="6418" width="26.109375" style="59" customWidth="1"/>
    <col min="6419" max="6419" width="29.33203125" style="59" customWidth="1"/>
    <col min="6420" max="6656" width="9.109375" style="59"/>
    <col min="6657" max="6657" width="20.5546875" style="59" customWidth="1"/>
    <col min="6658" max="6658" width="9.5546875" style="59" customWidth="1"/>
    <col min="6659" max="6659" width="23.109375" style="59" customWidth="1"/>
    <col min="6660" max="6660" width="0" style="59" hidden="1" customWidth="1"/>
    <col min="6661" max="6661" width="18.33203125" style="59" customWidth="1"/>
    <col min="6662" max="6662" width="18.5546875" style="59" customWidth="1"/>
    <col min="6663" max="6663" width="14.109375" style="59" customWidth="1"/>
    <col min="6664" max="6664" width="9.109375" style="59"/>
    <col min="6665" max="6665" width="22.5546875" style="59" customWidth="1"/>
    <col min="6666" max="6666" width="12.5546875" style="59" customWidth="1"/>
    <col min="6667" max="6667" width="13.33203125" style="59" bestFit="1" customWidth="1"/>
    <col min="6668" max="6670" width="12.88671875" style="59" customWidth="1"/>
    <col min="6671" max="6671" width="16.5546875" style="59" customWidth="1"/>
    <col min="6672" max="6673" width="17.88671875" style="59" customWidth="1"/>
    <col min="6674" max="6674" width="26.109375" style="59" customWidth="1"/>
    <col min="6675" max="6675" width="29.33203125" style="59" customWidth="1"/>
    <col min="6676" max="6912" width="9.109375" style="59"/>
    <col min="6913" max="6913" width="20.5546875" style="59" customWidth="1"/>
    <col min="6914" max="6914" width="9.5546875" style="59" customWidth="1"/>
    <col min="6915" max="6915" width="23.109375" style="59" customWidth="1"/>
    <col min="6916" max="6916" width="0" style="59" hidden="1" customWidth="1"/>
    <col min="6917" max="6917" width="18.33203125" style="59" customWidth="1"/>
    <col min="6918" max="6918" width="18.5546875" style="59" customWidth="1"/>
    <col min="6919" max="6919" width="14.109375" style="59" customWidth="1"/>
    <col min="6920" max="6920" width="9.109375" style="59"/>
    <col min="6921" max="6921" width="22.5546875" style="59" customWidth="1"/>
    <col min="6922" max="6922" width="12.5546875" style="59" customWidth="1"/>
    <col min="6923" max="6923" width="13.33203125" style="59" bestFit="1" customWidth="1"/>
    <col min="6924" max="6926" width="12.88671875" style="59" customWidth="1"/>
    <col min="6927" max="6927" width="16.5546875" style="59" customWidth="1"/>
    <col min="6928" max="6929" width="17.88671875" style="59" customWidth="1"/>
    <col min="6930" max="6930" width="26.109375" style="59" customWidth="1"/>
    <col min="6931" max="6931" width="29.33203125" style="59" customWidth="1"/>
    <col min="6932" max="7168" width="9.109375" style="59"/>
    <col min="7169" max="7169" width="20.5546875" style="59" customWidth="1"/>
    <col min="7170" max="7170" width="9.5546875" style="59" customWidth="1"/>
    <col min="7171" max="7171" width="23.109375" style="59" customWidth="1"/>
    <col min="7172" max="7172" width="0" style="59" hidden="1" customWidth="1"/>
    <col min="7173" max="7173" width="18.33203125" style="59" customWidth="1"/>
    <col min="7174" max="7174" width="18.5546875" style="59" customWidth="1"/>
    <col min="7175" max="7175" width="14.109375" style="59" customWidth="1"/>
    <col min="7176" max="7176" width="9.109375" style="59"/>
    <col min="7177" max="7177" width="22.5546875" style="59" customWidth="1"/>
    <col min="7178" max="7178" width="12.5546875" style="59" customWidth="1"/>
    <col min="7179" max="7179" width="13.33203125" style="59" bestFit="1" customWidth="1"/>
    <col min="7180" max="7182" width="12.88671875" style="59" customWidth="1"/>
    <col min="7183" max="7183" width="16.5546875" style="59" customWidth="1"/>
    <col min="7184" max="7185" width="17.88671875" style="59" customWidth="1"/>
    <col min="7186" max="7186" width="26.109375" style="59" customWidth="1"/>
    <col min="7187" max="7187" width="29.33203125" style="59" customWidth="1"/>
    <col min="7188" max="7424" width="9.109375" style="59"/>
    <col min="7425" max="7425" width="20.5546875" style="59" customWidth="1"/>
    <col min="7426" max="7426" width="9.5546875" style="59" customWidth="1"/>
    <col min="7427" max="7427" width="23.109375" style="59" customWidth="1"/>
    <col min="7428" max="7428" width="0" style="59" hidden="1" customWidth="1"/>
    <col min="7429" max="7429" width="18.33203125" style="59" customWidth="1"/>
    <col min="7430" max="7430" width="18.5546875" style="59" customWidth="1"/>
    <col min="7431" max="7431" width="14.109375" style="59" customWidth="1"/>
    <col min="7432" max="7432" width="9.109375" style="59"/>
    <col min="7433" max="7433" width="22.5546875" style="59" customWidth="1"/>
    <col min="7434" max="7434" width="12.5546875" style="59" customWidth="1"/>
    <col min="7435" max="7435" width="13.33203125" style="59" bestFit="1" customWidth="1"/>
    <col min="7436" max="7438" width="12.88671875" style="59" customWidth="1"/>
    <col min="7439" max="7439" width="16.5546875" style="59" customWidth="1"/>
    <col min="7440" max="7441" width="17.88671875" style="59" customWidth="1"/>
    <col min="7442" max="7442" width="26.109375" style="59" customWidth="1"/>
    <col min="7443" max="7443" width="29.33203125" style="59" customWidth="1"/>
    <col min="7444" max="7680" width="9.109375" style="59"/>
    <col min="7681" max="7681" width="20.5546875" style="59" customWidth="1"/>
    <col min="7682" max="7682" width="9.5546875" style="59" customWidth="1"/>
    <col min="7683" max="7683" width="23.109375" style="59" customWidth="1"/>
    <col min="7684" max="7684" width="0" style="59" hidden="1" customWidth="1"/>
    <col min="7685" max="7685" width="18.33203125" style="59" customWidth="1"/>
    <col min="7686" max="7686" width="18.5546875" style="59" customWidth="1"/>
    <col min="7687" max="7687" width="14.109375" style="59" customWidth="1"/>
    <col min="7688" max="7688" width="9.109375" style="59"/>
    <col min="7689" max="7689" width="22.5546875" style="59" customWidth="1"/>
    <col min="7690" max="7690" width="12.5546875" style="59" customWidth="1"/>
    <col min="7691" max="7691" width="13.33203125" style="59" bestFit="1" customWidth="1"/>
    <col min="7692" max="7694" width="12.88671875" style="59" customWidth="1"/>
    <col min="7695" max="7695" width="16.5546875" style="59" customWidth="1"/>
    <col min="7696" max="7697" width="17.88671875" style="59" customWidth="1"/>
    <col min="7698" max="7698" width="26.109375" style="59" customWidth="1"/>
    <col min="7699" max="7699" width="29.33203125" style="59" customWidth="1"/>
    <col min="7700" max="7936" width="9.109375" style="59"/>
    <col min="7937" max="7937" width="20.5546875" style="59" customWidth="1"/>
    <col min="7938" max="7938" width="9.5546875" style="59" customWidth="1"/>
    <col min="7939" max="7939" width="23.109375" style="59" customWidth="1"/>
    <col min="7940" max="7940" width="0" style="59" hidden="1" customWidth="1"/>
    <col min="7941" max="7941" width="18.33203125" style="59" customWidth="1"/>
    <col min="7942" max="7942" width="18.5546875" style="59" customWidth="1"/>
    <col min="7943" max="7943" width="14.109375" style="59" customWidth="1"/>
    <col min="7944" max="7944" width="9.109375" style="59"/>
    <col min="7945" max="7945" width="22.5546875" style="59" customWidth="1"/>
    <col min="7946" max="7946" width="12.5546875" style="59" customWidth="1"/>
    <col min="7947" max="7947" width="13.33203125" style="59" bestFit="1" customWidth="1"/>
    <col min="7948" max="7950" width="12.88671875" style="59" customWidth="1"/>
    <col min="7951" max="7951" width="16.5546875" style="59" customWidth="1"/>
    <col min="7952" max="7953" width="17.88671875" style="59" customWidth="1"/>
    <col min="7954" max="7954" width="26.109375" style="59" customWidth="1"/>
    <col min="7955" max="7955" width="29.33203125" style="59" customWidth="1"/>
    <col min="7956" max="8192" width="9.109375" style="59"/>
    <col min="8193" max="8193" width="20.5546875" style="59" customWidth="1"/>
    <col min="8194" max="8194" width="9.5546875" style="59" customWidth="1"/>
    <col min="8195" max="8195" width="23.109375" style="59" customWidth="1"/>
    <col min="8196" max="8196" width="0" style="59" hidden="1" customWidth="1"/>
    <col min="8197" max="8197" width="18.33203125" style="59" customWidth="1"/>
    <col min="8198" max="8198" width="18.5546875" style="59" customWidth="1"/>
    <col min="8199" max="8199" width="14.109375" style="59" customWidth="1"/>
    <col min="8200" max="8200" width="9.109375" style="59"/>
    <col min="8201" max="8201" width="22.5546875" style="59" customWidth="1"/>
    <col min="8202" max="8202" width="12.5546875" style="59" customWidth="1"/>
    <col min="8203" max="8203" width="13.33203125" style="59" bestFit="1" customWidth="1"/>
    <col min="8204" max="8206" width="12.88671875" style="59" customWidth="1"/>
    <col min="8207" max="8207" width="16.5546875" style="59" customWidth="1"/>
    <col min="8208" max="8209" width="17.88671875" style="59" customWidth="1"/>
    <col min="8210" max="8210" width="26.109375" style="59" customWidth="1"/>
    <col min="8211" max="8211" width="29.33203125" style="59" customWidth="1"/>
    <col min="8212" max="8448" width="9.109375" style="59"/>
    <col min="8449" max="8449" width="20.5546875" style="59" customWidth="1"/>
    <col min="8450" max="8450" width="9.5546875" style="59" customWidth="1"/>
    <col min="8451" max="8451" width="23.109375" style="59" customWidth="1"/>
    <col min="8452" max="8452" width="0" style="59" hidden="1" customWidth="1"/>
    <col min="8453" max="8453" width="18.33203125" style="59" customWidth="1"/>
    <col min="8454" max="8454" width="18.5546875" style="59" customWidth="1"/>
    <col min="8455" max="8455" width="14.109375" style="59" customWidth="1"/>
    <col min="8456" max="8456" width="9.109375" style="59"/>
    <col min="8457" max="8457" width="22.5546875" style="59" customWidth="1"/>
    <col min="8458" max="8458" width="12.5546875" style="59" customWidth="1"/>
    <col min="8459" max="8459" width="13.33203125" style="59" bestFit="1" customWidth="1"/>
    <col min="8460" max="8462" width="12.88671875" style="59" customWidth="1"/>
    <col min="8463" max="8463" width="16.5546875" style="59" customWidth="1"/>
    <col min="8464" max="8465" width="17.88671875" style="59" customWidth="1"/>
    <col min="8466" max="8466" width="26.109375" style="59" customWidth="1"/>
    <col min="8467" max="8467" width="29.33203125" style="59" customWidth="1"/>
    <col min="8468" max="8704" width="9.109375" style="59"/>
    <col min="8705" max="8705" width="20.5546875" style="59" customWidth="1"/>
    <col min="8706" max="8706" width="9.5546875" style="59" customWidth="1"/>
    <col min="8707" max="8707" width="23.109375" style="59" customWidth="1"/>
    <col min="8708" max="8708" width="0" style="59" hidden="1" customWidth="1"/>
    <col min="8709" max="8709" width="18.33203125" style="59" customWidth="1"/>
    <col min="8710" max="8710" width="18.5546875" style="59" customWidth="1"/>
    <col min="8711" max="8711" width="14.109375" style="59" customWidth="1"/>
    <col min="8712" max="8712" width="9.109375" style="59"/>
    <col min="8713" max="8713" width="22.5546875" style="59" customWidth="1"/>
    <col min="8714" max="8714" width="12.5546875" style="59" customWidth="1"/>
    <col min="8715" max="8715" width="13.33203125" style="59" bestFit="1" customWidth="1"/>
    <col min="8716" max="8718" width="12.88671875" style="59" customWidth="1"/>
    <col min="8719" max="8719" width="16.5546875" style="59" customWidth="1"/>
    <col min="8720" max="8721" width="17.88671875" style="59" customWidth="1"/>
    <col min="8722" max="8722" width="26.109375" style="59" customWidth="1"/>
    <col min="8723" max="8723" width="29.33203125" style="59" customWidth="1"/>
    <col min="8724" max="8960" width="9.109375" style="59"/>
    <col min="8961" max="8961" width="20.5546875" style="59" customWidth="1"/>
    <col min="8962" max="8962" width="9.5546875" style="59" customWidth="1"/>
    <col min="8963" max="8963" width="23.109375" style="59" customWidth="1"/>
    <col min="8964" max="8964" width="0" style="59" hidden="1" customWidth="1"/>
    <col min="8965" max="8965" width="18.33203125" style="59" customWidth="1"/>
    <col min="8966" max="8966" width="18.5546875" style="59" customWidth="1"/>
    <col min="8967" max="8967" width="14.109375" style="59" customWidth="1"/>
    <col min="8968" max="8968" width="9.109375" style="59"/>
    <col min="8969" max="8969" width="22.5546875" style="59" customWidth="1"/>
    <col min="8970" max="8970" width="12.5546875" style="59" customWidth="1"/>
    <col min="8971" max="8971" width="13.33203125" style="59" bestFit="1" customWidth="1"/>
    <col min="8972" max="8974" width="12.88671875" style="59" customWidth="1"/>
    <col min="8975" max="8975" width="16.5546875" style="59" customWidth="1"/>
    <col min="8976" max="8977" width="17.88671875" style="59" customWidth="1"/>
    <col min="8978" max="8978" width="26.109375" style="59" customWidth="1"/>
    <col min="8979" max="8979" width="29.33203125" style="59" customWidth="1"/>
    <col min="8980" max="9216" width="9.109375" style="59"/>
    <col min="9217" max="9217" width="20.5546875" style="59" customWidth="1"/>
    <col min="9218" max="9218" width="9.5546875" style="59" customWidth="1"/>
    <col min="9219" max="9219" width="23.109375" style="59" customWidth="1"/>
    <col min="9220" max="9220" width="0" style="59" hidden="1" customWidth="1"/>
    <col min="9221" max="9221" width="18.33203125" style="59" customWidth="1"/>
    <col min="9222" max="9222" width="18.5546875" style="59" customWidth="1"/>
    <col min="9223" max="9223" width="14.109375" style="59" customWidth="1"/>
    <col min="9224" max="9224" width="9.109375" style="59"/>
    <col min="9225" max="9225" width="22.5546875" style="59" customWidth="1"/>
    <col min="9226" max="9226" width="12.5546875" style="59" customWidth="1"/>
    <col min="9227" max="9227" width="13.33203125" style="59" bestFit="1" customWidth="1"/>
    <col min="9228" max="9230" width="12.88671875" style="59" customWidth="1"/>
    <col min="9231" max="9231" width="16.5546875" style="59" customWidth="1"/>
    <col min="9232" max="9233" width="17.88671875" style="59" customWidth="1"/>
    <col min="9234" max="9234" width="26.109375" style="59" customWidth="1"/>
    <col min="9235" max="9235" width="29.33203125" style="59" customWidth="1"/>
    <col min="9236" max="9472" width="9.109375" style="59"/>
    <col min="9473" max="9473" width="20.5546875" style="59" customWidth="1"/>
    <col min="9474" max="9474" width="9.5546875" style="59" customWidth="1"/>
    <col min="9475" max="9475" width="23.109375" style="59" customWidth="1"/>
    <col min="9476" max="9476" width="0" style="59" hidden="1" customWidth="1"/>
    <col min="9477" max="9477" width="18.33203125" style="59" customWidth="1"/>
    <col min="9478" max="9478" width="18.5546875" style="59" customWidth="1"/>
    <col min="9479" max="9479" width="14.109375" style="59" customWidth="1"/>
    <col min="9480" max="9480" width="9.109375" style="59"/>
    <col min="9481" max="9481" width="22.5546875" style="59" customWidth="1"/>
    <col min="9482" max="9482" width="12.5546875" style="59" customWidth="1"/>
    <col min="9483" max="9483" width="13.33203125" style="59" bestFit="1" customWidth="1"/>
    <col min="9484" max="9486" width="12.88671875" style="59" customWidth="1"/>
    <col min="9487" max="9487" width="16.5546875" style="59" customWidth="1"/>
    <col min="9488" max="9489" width="17.88671875" style="59" customWidth="1"/>
    <col min="9490" max="9490" width="26.109375" style="59" customWidth="1"/>
    <col min="9491" max="9491" width="29.33203125" style="59" customWidth="1"/>
    <col min="9492" max="9728" width="9.109375" style="59"/>
    <col min="9729" max="9729" width="20.5546875" style="59" customWidth="1"/>
    <col min="9730" max="9730" width="9.5546875" style="59" customWidth="1"/>
    <col min="9731" max="9731" width="23.109375" style="59" customWidth="1"/>
    <col min="9732" max="9732" width="0" style="59" hidden="1" customWidth="1"/>
    <col min="9733" max="9733" width="18.33203125" style="59" customWidth="1"/>
    <col min="9734" max="9734" width="18.5546875" style="59" customWidth="1"/>
    <col min="9735" max="9735" width="14.109375" style="59" customWidth="1"/>
    <col min="9736" max="9736" width="9.109375" style="59"/>
    <col min="9737" max="9737" width="22.5546875" style="59" customWidth="1"/>
    <col min="9738" max="9738" width="12.5546875" style="59" customWidth="1"/>
    <col min="9739" max="9739" width="13.33203125" style="59" bestFit="1" customWidth="1"/>
    <col min="9740" max="9742" width="12.88671875" style="59" customWidth="1"/>
    <col min="9743" max="9743" width="16.5546875" style="59" customWidth="1"/>
    <col min="9744" max="9745" width="17.88671875" style="59" customWidth="1"/>
    <col min="9746" max="9746" width="26.109375" style="59" customWidth="1"/>
    <col min="9747" max="9747" width="29.33203125" style="59" customWidth="1"/>
    <col min="9748" max="9984" width="9.109375" style="59"/>
    <col min="9985" max="9985" width="20.5546875" style="59" customWidth="1"/>
    <col min="9986" max="9986" width="9.5546875" style="59" customWidth="1"/>
    <col min="9987" max="9987" width="23.109375" style="59" customWidth="1"/>
    <col min="9988" max="9988" width="0" style="59" hidden="1" customWidth="1"/>
    <col min="9989" max="9989" width="18.33203125" style="59" customWidth="1"/>
    <col min="9990" max="9990" width="18.5546875" style="59" customWidth="1"/>
    <col min="9991" max="9991" width="14.109375" style="59" customWidth="1"/>
    <col min="9992" max="9992" width="9.109375" style="59"/>
    <col min="9993" max="9993" width="22.5546875" style="59" customWidth="1"/>
    <col min="9994" max="9994" width="12.5546875" style="59" customWidth="1"/>
    <col min="9995" max="9995" width="13.33203125" style="59" bestFit="1" customWidth="1"/>
    <col min="9996" max="9998" width="12.88671875" style="59" customWidth="1"/>
    <col min="9999" max="9999" width="16.5546875" style="59" customWidth="1"/>
    <col min="10000" max="10001" width="17.88671875" style="59" customWidth="1"/>
    <col min="10002" max="10002" width="26.109375" style="59" customWidth="1"/>
    <col min="10003" max="10003" width="29.33203125" style="59" customWidth="1"/>
    <col min="10004" max="10240" width="9.109375" style="59"/>
    <col min="10241" max="10241" width="20.5546875" style="59" customWidth="1"/>
    <col min="10242" max="10242" width="9.5546875" style="59" customWidth="1"/>
    <col min="10243" max="10243" width="23.109375" style="59" customWidth="1"/>
    <col min="10244" max="10244" width="0" style="59" hidden="1" customWidth="1"/>
    <col min="10245" max="10245" width="18.33203125" style="59" customWidth="1"/>
    <col min="10246" max="10246" width="18.5546875" style="59" customWidth="1"/>
    <col min="10247" max="10247" width="14.109375" style="59" customWidth="1"/>
    <col min="10248" max="10248" width="9.109375" style="59"/>
    <col min="10249" max="10249" width="22.5546875" style="59" customWidth="1"/>
    <col min="10250" max="10250" width="12.5546875" style="59" customWidth="1"/>
    <col min="10251" max="10251" width="13.33203125" style="59" bestFit="1" customWidth="1"/>
    <col min="10252" max="10254" width="12.88671875" style="59" customWidth="1"/>
    <col min="10255" max="10255" width="16.5546875" style="59" customWidth="1"/>
    <col min="10256" max="10257" width="17.88671875" style="59" customWidth="1"/>
    <col min="10258" max="10258" width="26.109375" style="59" customWidth="1"/>
    <col min="10259" max="10259" width="29.33203125" style="59" customWidth="1"/>
    <col min="10260" max="10496" width="9.109375" style="59"/>
    <col min="10497" max="10497" width="20.5546875" style="59" customWidth="1"/>
    <col min="10498" max="10498" width="9.5546875" style="59" customWidth="1"/>
    <col min="10499" max="10499" width="23.109375" style="59" customWidth="1"/>
    <col min="10500" max="10500" width="0" style="59" hidden="1" customWidth="1"/>
    <col min="10501" max="10501" width="18.33203125" style="59" customWidth="1"/>
    <col min="10502" max="10502" width="18.5546875" style="59" customWidth="1"/>
    <col min="10503" max="10503" width="14.109375" style="59" customWidth="1"/>
    <col min="10504" max="10504" width="9.109375" style="59"/>
    <col min="10505" max="10505" width="22.5546875" style="59" customWidth="1"/>
    <col min="10506" max="10506" width="12.5546875" style="59" customWidth="1"/>
    <col min="10507" max="10507" width="13.33203125" style="59" bestFit="1" customWidth="1"/>
    <col min="10508" max="10510" width="12.88671875" style="59" customWidth="1"/>
    <col min="10511" max="10511" width="16.5546875" style="59" customWidth="1"/>
    <col min="10512" max="10513" width="17.88671875" style="59" customWidth="1"/>
    <col min="10514" max="10514" width="26.109375" style="59" customWidth="1"/>
    <col min="10515" max="10515" width="29.33203125" style="59" customWidth="1"/>
    <col min="10516" max="10752" width="9.109375" style="59"/>
    <col min="10753" max="10753" width="20.5546875" style="59" customWidth="1"/>
    <col min="10754" max="10754" width="9.5546875" style="59" customWidth="1"/>
    <col min="10755" max="10755" width="23.109375" style="59" customWidth="1"/>
    <col min="10756" max="10756" width="0" style="59" hidden="1" customWidth="1"/>
    <col min="10757" max="10757" width="18.33203125" style="59" customWidth="1"/>
    <col min="10758" max="10758" width="18.5546875" style="59" customWidth="1"/>
    <col min="10759" max="10759" width="14.109375" style="59" customWidth="1"/>
    <col min="10760" max="10760" width="9.109375" style="59"/>
    <col min="10761" max="10761" width="22.5546875" style="59" customWidth="1"/>
    <col min="10762" max="10762" width="12.5546875" style="59" customWidth="1"/>
    <col min="10763" max="10763" width="13.33203125" style="59" bestFit="1" customWidth="1"/>
    <col min="10764" max="10766" width="12.88671875" style="59" customWidth="1"/>
    <col min="10767" max="10767" width="16.5546875" style="59" customWidth="1"/>
    <col min="10768" max="10769" width="17.88671875" style="59" customWidth="1"/>
    <col min="10770" max="10770" width="26.109375" style="59" customWidth="1"/>
    <col min="10771" max="10771" width="29.33203125" style="59" customWidth="1"/>
    <col min="10772" max="11008" width="9.109375" style="59"/>
    <col min="11009" max="11009" width="20.5546875" style="59" customWidth="1"/>
    <col min="11010" max="11010" width="9.5546875" style="59" customWidth="1"/>
    <col min="11011" max="11011" width="23.109375" style="59" customWidth="1"/>
    <col min="11012" max="11012" width="0" style="59" hidden="1" customWidth="1"/>
    <col min="11013" max="11013" width="18.33203125" style="59" customWidth="1"/>
    <col min="11014" max="11014" width="18.5546875" style="59" customWidth="1"/>
    <col min="11015" max="11015" width="14.109375" style="59" customWidth="1"/>
    <col min="11016" max="11016" width="9.109375" style="59"/>
    <col min="11017" max="11017" width="22.5546875" style="59" customWidth="1"/>
    <col min="11018" max="11018" width="12.5546875" style="59" customWidth="1"/>
    <col min="11019" max="11019" width="13.33203125" style="59" bestFit="1" customWidth="1"/>
    <col min="11020" max="11022" width="12.88671875" style="59" customWidth="1"/>
    <col min="11023" max="11023" width="16.5546875" style="59" customWidth="1"/>
    <col min="11024" max="11025" width="17.88671875" style="59" customWidth="1"/>
    <col min="11026" max="11026" width="26.109375" style="59" customWidth="1"/>
    <col min="11027" max="11027" width="29.33203125" style="59" customWidth="1"/>
    <col min="11028" max="11264" width="9.109375" style="59"/>
    <col min="11265" max="11265" width="20.5546875" style="59" customWidth="1"/>
    <col min="11266" max="11266" width="9.5546875" style="59" customWidth="1"/>
    <col min="11267" max="11267" width="23.109375" style="59" customWidth="1"/>
    <col min="11268" max="11268" width="0" style="59" hidden="1" customWidth="1"/>
    <col min="11269" max="11269" width="18.33203125" style="59" customWidth="1"/>
    <col min="11270" max="11270" width="18.5546875" style="59" customWidth="1"/>
    <col min="11271" max="11271" width="14.109375" style="59" customWidth="1"/>
    <col min="11272" max="11272" width="9.109375" style="59"/>
    <col min="11273" max="11273" width="22.5546875" style="59" customWidth="1"/>
    <col min="11274" max="11274" width="12.5546875" style="59" customWidth="1"/>
    <col min="11275" max="11275" width="13.33203125" style="59" bestFit="1" customWidth="1"/>
    <col min="11276" max="11278" width="12.88671875" style="59" customWidth="1"/>
    <col min="11279" max="11279" width="16.5546875" style="59" customWidth="1"/>
    <col min="11280" max="11281" width="17.88671875" style="59" customWidth="1"/>
    <col min="11282" max="11282" width="26.109375" style="59" customWidth="1"/>
    <col min="11283" max="11283" width="29.33203125" style="59" customWidth="1"/>
    <col min="11284" max="11520" width="9.109375" style="59"/>
    <col min="11521" max="11521" width="20.5546875" style="59" customWidth="1"/>
    <col min="11522" max="11522" width="9.5546875" style="59" customWidth="1"/>
    <col min="11523" max="11523" width="23.109375" style="59" customWidth="1"/>
    <col min="11524" max="11524" width="0" style="59" hidden="1" customWidth="1"/>
    <col min="11525" max="11525" width="18.33203125" style="59" customWidth="1"/>
    <col min="11526" max="11526" width="18.5546875" style="59" customWidth="1"/>
    <col min="11527" max="11527" width="14.109375" style="59" customWidth="1"/>
    <col min="11528" max="11528" width="9.109375" style="59"/>
    <col min="11529" max="11529" width="22.5546875" style="59" customWidth="1"/>
    <col min="11530" max="11530" width="12.5546875" style="59" customWidth="1"/>
    <col min="11531" max="11531" width="13.33203125" style="59" bestFit="1" customWidth="1"/>
    <col min="11532" max="11534" width="12.88671875" style="59" customWidth="1"/>
    <col min="11535" max="11535" width="16.5546875" style="59" customWidth="1"/>
    <col min="11536" max="11537" width="17.88671875" style="59" customWidth="1"/>
    <col min="11538" max="11538" width="26.109375" style="59" customWidth="1"/>
    <col min="11539" max="11539" width="29.33203125" style="59" customWidth="1"/>
    <col min="11540" max="11776" width="9.109375" style="59"/>
    <col min="11777" max="11777" width="20.5546875" style="59" customWidth="1"/>
    <col min="11778" max="11778" width="9.5546875" style="59" customWidth="1"/>
    <col min="11779" max="11779" width="23.109375" style="59" customWidth="1"/>
    <col min="11780" max="11780" width="0" style="59" hidden="1" customWidth="1"/>
    <col min="11781" max="11781" width="18.33203125" style="59" customWidth="1"/>
    <col min="11782" max="11782" width="18.5546875" style="59" customWidth="1"/>
    <col min="11783" max="11783" width="14.109375" style="59" customWidth="1"/>
    <col min="11784" max="11784" width="9.109375" style="59"/>
    <col min="11785" max="11785" width="22.5546875" style="59" customWidth="1"/>
    <col min="11786" max="11786" width="12.5546875" style="59" customWidth="1"/>
    <col min="11787" max="11787" width="13.33203125" style="59" bestFit="1" customWidth="1"/>
    <col min="11788" max="11790" width="12.88671875" style="59" customWidth="1"/>
    <col min="11791" max="11791" width="16.5546875" style="59" customWidth="1"/>
    <col min="11792" max="11793" width="17.88671875" style="59" customWidth="1"/>
    <col min="11794" max="11794" width="26.109375" style="59" customWidth="1"/>
    <col min="11795" max="11795" width="29.33203125" style="59" customWidth="1"/>
    <col min="11796" max="12032" width="9.109375" style="59"/>
    <col min="12033" max="12033" width="20.5546875" style="59" customWidth="1"/>
    <col min="12034" max="12034" width="9.5546875" style="59" customWidth="1"/>
    <col min="12035" max="12035" width="23.109375" style="59" customWidth="1"/>
    <col min="12036" max="12036" width="0" style="59" hidden="1" customWidth="1"/>
    <col min="12037" max="12037" width="18.33203125" style="59" customWidth="1"/>
    <col min="12038" max="12038" width="18.5546875" style="59" customWidth="1"/>
    <col min="12039" max="12039" width="14.109375" style="59" customWidth="1"/>
    <col min="12040" max="12040" width="9.109375" style="59"/>
    <col min="12041" max="12041" width="22.5546875" style="59" customWidth="1"/>
    <col min="12042" max="12042" width="12.5546875" style="59" customWidth="1"/>
    <col min="12043" max="12043" width="13.33203125" style="59" bestFit="1" customWidth="1"/>
    <col min="12044" max="12046" width="12.88671875" style="59" customWidth="1"/>
    <col min="12047" max="12047" width="16.5546875" style="59" customWidth="1"/>
    <col min="12048" max="12049" width="17.88671875" style="59" customWidth="1"/>
    <col min="12050" max="12050" width="26.109375" style="59" customWidth="1"/>
    <col min="12051" max="12051" width="29.33203125" style="59" customWidth="1"/>
    <col min="12052" max="12288" width="9.109375" style="59"/>
    <col min="12289" max="12289" width="20.5546875" style="59" customWidth="1"/>
    <col min="12290" max="12290" width="9.5546875" style="59" customWidth="1"/>
    <col min="12291" max="12291" width="23.109375" style="59" customWidth="1"/>
    <col min="12292" max="12292" width="0" style="59" hidden="1" customWidth="1"/>
    <col min="12293" max="12293" width="18.33203125" style="59" customWidth="1"/>
    <col min="12294" max="12294" width="18.5546875" style="59" customWidth="1"/>
    <col min="12295" max="12295" width="14.109375" style="59" customWidth="1"/>
    <col min="12296" max="12296" width="9.109375" style="59"/>
    <col min="12297" max="12297" width="22.5546875" style="59" customWidth="1"/>
    <col min="12298" max="12298" width="12.5546875" style="59" customWidth="1"/>
    <col min="12299" max="12299" width="13.33203125" style="59" bestFit="1" customWidth="1"/>
    <col min="12300" max="12302" width="12.88671875" style="59" customWidth="1"/>
    <col min="12303" max="12303" width="16.5546875" style="59" customWidth="1"/>
    <col min="12304" max="12305" width="17.88671875" style="59" customWidth="1"/>
    <col min="12306" max="12306" width="26.109375" style="59" customWidth="1"/>
    <col min="12307" max="12307" width="29.33203125" style="59" customWidth="1"/>
    <col min="12308" max="12544" width="9.109375" style="59"/>
    <col min="12545" max="12545" width="20.5546875" style="59" customWidth="1"/>
    <col min="12546" max="12546" width="9.5546875" style="59" customWidth="1"/>
    <col min="12547" max="12547" width="23.109375" style="59" customWidth="1"/>
    <col min="12548" max="12548" width="0" style="59" hidden="1" customWidth="1"/>
    <col min="12549" max="12549" width="18.33203125" style="59" customWidth="1"/>
    <col min="12550" max="12550" width="18.5546875" style="59" customWidth="1"/>
    <col min="12551" max="12551" width="14.109375" style="59" customWidth="1"/>
    <col min="12552" max="12552" width="9.109375" style="59"/>
    <col min="12553" max="12553" width="22.5546875" style="59" customWidth="1"/>
    <col min="12554" max="12554" width="12.5546875" style="59" customWidth="1"/>
    <col min="12555" max="12555" width="13.33203125" style="59" bestFit="1" customWidth="1"/>
    <col min="12556" max="12558" width="12.88671875" style="59" customWidth="1"/>
    <col min="12559" max="12559" width="16.5546875" style="59" customWidth="1"/>
    <col min="12560" max="12561" width="17.88671875" style="59" customWidth="1"/>
    <col min="12562" max="12562" width="26.109375" style="59" customWidth="1"/>
    <col min="12563" max="12563" width="29.33203125" style="59" customWidth="1"/>
    <col min="12564" max="12800" width="9.109375" style="59"/>
    <col min="12801" max="12801" width="20.5546875" style="59" customWidth="1"/>
    <col min="12802" max="12802" width="9.5546875" style="59" customWidth="1"/>
    <col min="12803" max="12803" width="23.109375" style="59" customWidth="1"/>
    <col min="12804" max="12804" width="0" style="59" hidden="1" customWidth="1"/>
    <col min="12805" max="12805" width="18.33203125" style="59" customWidth="1"/>
    <col min="12806" max="12806" width="18.5546875" style="59" customWidth="1"/>
    <col min="12807" max="12807" width="14.109375" style="59" customWidth="1"/>
    <col min="12808" max="12808" width="9.109375" style="59"/>
    <col min="12809" max="12809" width="22.5546875" style="59" customWidth="1"/>
    <col min="12810" max="12810" width="12.5546875" style="59" customWidth="1"/>
    <col min="12811" max="12811" width="13.33203125" style="59" bestFit="1" customWidth="1"/>
    <col min="12812" max="12814" width="12.88671875" style="59" customWidth="1"/>
    <col min="12815" max="12815" width="16.5546875" style="59" customWidth="1"/>
    <col min="12816" max="12817" width="17.88671875" style="59" customWidth="1"/>
    <col min="12818" max="12818" width="26.109375" style="59" customWidth="1"/>
    <col min="12819" max="12819" width="29.33203125" style="59" customWidth="1"/>
    <col min="12820" max="13056" width="9.109375" style="59"/>
    <col min="13057" max="13057" width="20.5546875" style="59" customWidth="1"/>
    <col min="13058" max="13058" width="9.5546875" style="59" customWidth="1"/>
    <col min="13059" max="13059" width="23.109375" style="59" customWidth="1"/>
    <col min="13060" max="13060" width="0" style="59" hidden="1" customWidth="1"/>
    <col min="13061" max="13061" width="18.33203125" style="59" customWidth="1"/>
    <col min="13062" max="13062" width="18.5546875" style="59" customWidth="1"/>
    <col min="13063" max="13063" width="14.109375" style="59" customWidth="1"/>
    <col min="13064" max="13064" width="9.109375" style="59"/>
    <col min="13065" max="13065" width="22.5546875" style="59" customWidth="1"/>
    <col min="13066" max="13066" width="12.5546875" style="59" customWidth="1"/>
    <col min="13067" max="13067" width="13.33203125" style="59" bestFit="1" customWidth="1"/>
    <col min="13068" max="13070" width="12.88671875" style="59" customWidth="1"/>
    <col min="13071" max="13071" width="16.5546875" style="59" customWidth="1"/>
    <col min="13072" max="13073" width="17.88671875" style="59" customWidth="1"/>
    <col min="13074" max="13074" width="26.109375" style="59" customWidth="1"/>
    <col min="13075" max="13075" width="29.33203125" style="59" customWidth="1"/>
    <col min="13076" max="13312" width="9.109375" style="59"/>
    <col min="13313" max="13313" width="20.5546875" style="59" customWidth="1"/>
    <col min="13314" max="13314" width="9.5546875" style="59" customWidth="1"/>
    <col min="13315" max="13315" width="23.109375" style="59" customWidth="1"/>
    <col min="13316" max="13316" width="0" style="59" hidden="1" customWidth="1"/>
    <col min="13317" max="13317" width="18.33203125" style="59" customWidth="1"/>
    <col min="13318" max="13318" width="18.5546875" style="59" customWidth="1"/>
    <col min="13319" max="13319" width="14.109375" style="59" customWidth="1"/>
    <col min="13320" max="13320" width="9.109375" style="59"/>
    <col min="13321" max="13321" width="22.5546875" style="59" customWidth="1"/>
    <col min="13322" max="13322" width="12.5546875" style="59" customWidth="1"/>
    <col min="13323" max="13323" width="13.33203125" style="59" bestFit="1" customWidth="1"/>
    <col min="13324" max="13326" width="12.88671875" style="59" customWidth="1"/>
    <col min="13327" max="13327" width="16.5546875" style="59" customWidth="1"/>
    <col min="13328" max="13329" width="17.88671875" style="59" customWidth="1"/>
    <col min="13330" max="13330" width="26.109375" style="59" customWidth="1"/>
    <col min="13331" max="13331" width="29.33203125" style="59" customWidth="1"/>
    <col min="13332" max="13568" width="9.109375" style="59"/>
    <col min="13569" max="13569" width="20.5546875" style="59" customWidth="1"/>
    <col min="13570" max="13570" width="9.5546875" style="59" customWidth="1"/>
    <col min="13571" max="13571" width="23.109375" style="59" customWidth="1"/>
    <col min="13572" max="13572" width="0" style="59" hidden="1" customWidth="1"/>
    <col min="13573" max="13573" width="18.33203125" style="59" customWidth="1"/>
    <col min="13574" max="13574" width="18.5546875" style="59" customWidth="1"/>
    <col min="13575" max="13575" width="14.109375" style="59" customWidth="1"/>
    <col min="13576" max="13576" width="9.109375" style="59"/>
    <col min="13577" max="13577" width="22.5546875" style="59" customWidth="1"/>
    <col min="13578" max="13578" width="12.5546875" style="59" customWidth="1"/>
    <col min="13579" max="13579" width="13.33203125" style="59" bestFit="1" customWidth="1"/>
    <col min="13580" max="13582" width="12.88671875" style="59" customWidth="1"/>
    <col min="13583" max="13583" width="16.5546875" style="59" customWidth="1"/>
    <col min="13584" max="13585" width="17.88671875" style="59" customWidth="1"/>
    <col min="13586" max="13586" width="26.109375" style="59" customWidth="1"/>
    <col min="13587" max="13587" width="29.33203125" style="59" customWidth="1"/>
    <col min="13588" max="13824" width="9.109375" style="59"/>
    <col min="13825" max="13825" width="20.5546875" style="59" customWidth="1"/>
    <col min="13826" max="13826" width="9.5546875" style="59" customWidth="1"/>
    <col min="13827" max="13827" width="23.109375" style="59" customWidth="1"/>
    <col min="13828" max="13828" width="0" style="59" hidden="1" customWidth="1"/>
    <col min="13829" max="13829" width="18.33203125" style="59" customWidth="1"/>
    <col min="13830" max="13830" width="18.5546875" style="59" customWidth="1"/>
    <col min="13831" max="13831" width="14.109375" style="59" customWidth="1"/>
    <col min="13832" max="13832" width="9.109375" style="59"/>
    <col min="13833" max="13833" width="22.5546875" style="59" customWidth="1"/>
    <col min="13834" max="13834" width="12.5546875" style="59" customWidth="1"/>
    <col min="13835" max="13835" width="13.33203125" style="59" bestFit="1" customWidth="1"/>
    <col min="13836" max="13838" width="12.88671875" style="59" customWidth="1"/>
    <col min="13839" max="13839" width="16.5546875" style="59" customWidth="1"/>
    <col min="13840" max="13841" width="17.88671875" style="59" customWidth="1"/>
    <col min="13842" max="13842" width="26.109375" style="59" customWidth="1"/>
    <col min="13843" max="13843" width="29.33203125" style="59" customWidth="1"/>
    <col min="13844" max="14080" width="9.109375" style="59"/>
    <col min="14081" max="14081" width="20.5546875" style="59" customWidth="1"/>
    <col min="14082" max="14082" width="9.5546875" style="59" customWidth="1"/>
    <col min="14083" max="14083" width="23.109375" style="59" customWidth="1"/>
    <col min="14084" max="14084" width="0" style="59" hidden="1" customWidth="1"/>
    <col min="14085" max="14085" width="18.33203125" style="59" customWidth="1"/>
    <col min="14086" max="14086" width="18.5546875" style="59" customWidth="1"/>
    <col min="14087" max="14087" width="14.109375" style="59" customWidth="1"/>
    <col min="14088" max="14088" width="9.109375" style="59"/>
    <col min="14089" max="14089" width="22.5546875" style="59" customWidth="1"/>
    <col min="14090" max="14090" width="12.5546875" style="59" customWidth="1"/>
    <col min="14091" max="14091" width="13.33203125" style="59" bestFit="1" customWidth="1"/>
    <col min="14092" max="14094" width="12.88671875" style="59" customWidth="1"/>
    <col min="14095" max="14095" width="16.5546875" style="59" customWidth="1"/>
    <col min="14096" max="14097" width="17.88671875" style="59" customWidth="1"/>
    <col min="14098" max="14098" width="26.109375" style="59" customWidth="1"/>
    <col min="14099" max="14099" width="29.33203125" style="59" customWidth="1"/>
    <col min="14100" max="14336" width="9.109375" style="59"/>
    <col min="14337" max="14337" width="20.5546875" style="59" customWidth="1"/>
    <col min="14338" max="14338" width="9.5546875" style="59" customWidth="1"/>
    <col min="14339" max="14339" width="23.109375" style="59" customWidth="1"/>
    <col min="14340" max="14340" width="0" style="59" hidden="1" customWidth="1"/>
    <col min="14341" max="14341" width="18.33203125" style="59" customWidth="1"/>
    <col min="14342" max="14342" width="18.5546875" style="59" customWidth="1"/>
    <col min="14343" max="14343" width="14.109375" style="59" customWidth="1"/>
    <col min="14344" max="14344" width="9.109375" style="59"/>
    <col min="14345" max="14345" width="22.5546875" style="59" customWidth="1"/>
    <col min="14346" max="14346" width="12.5546875" style="59" customWidth="1"/>
    <col min="14347" max="14347" width="13.33203125" style="59" bestFit="1" customWidth="1"/>
    <col min="14348" max="14350" width="12.88671875" style="59" customWidth="1"/>
    <col min="14351" max="14351" width="16.5546875" style="59" customWidth="1"/>
    <col min="14352" max="14353" width="17.88671875" style="59" customWidth="1"/>
    <col min="14354" max="14354" width="26.109375" style="59" customWidth="1"/>
    <col min="14355" max="14355" width="29.33203125" style="59" customWidth="1"/>
    <col min="14356" max="14592" width="9.109375" style="59"/>
    <col min="14593" max="14593" width="20.5546875" style="59" customWidth="1"/>
    <col min="14594" max="14594" width="9.5546875" style="59" customWidth="1"/>
    <col min="14595" max="14595" width="23.109375" style="59" customWidth="1"/>
    <col min="14596" max="14596" width="0" style="59" hidden="1" customWidth="1"/>
    <col min="14597" max="14597" width="18.33203125" style="59" customWidth="1"/>
    <col min="14598" max="14598" width="18.5546875" style="59" customWidth="1"/>
    <col min="14599" max="14599" width="14.109375" style="59" customWidth="1"/>
    <col min="14600" max="14600" width="9.109375" style="59"/>
    <col min="14601" max="14601" width="22.5546875" style="59" customWidth="1"/>
    <col min="14602" max="14602" width="12.5546875" style="59" customWidth="1"/>
    <col min="14603" max="14603" width="13.33203125" style="59" bestFit="1" customWidth="1"/>
    <col min="14604" max="14606" width="12.88671875" style="59" customWidth="1"/>
    <col min="14607" max="14607" width="16.5546875" style="59" customWidth="1"/>
    <col min="14608" max="14609" width="17.88671875" style="59" customWidth="1"/>
    <col min="14610" max="14610" width="26.109375" style="59" customWidth="1"/>
    <col min="14611" max="14611" width="29.33203125" style="59" customWidth="1"/>
    <col min="14612" max="14848" width="9.109375" style="59"/>
    <col min="14849" max="14849" width="20.5546875" style="59" customWidth="1"/>
    <col min="14850" max="14850" width="9.5546875" style="59" customWidth="1"/>
    <col min="14851" max="14851" width="23.109375" style="59" customWidth="1"/>
    <col min="14852" max="14852" width="0" style="59" hidden="1" customWidth="1"/>
    <col min="14853" max="14853" width="18.33203125" style="59" customWidth="1"/>
    <col min="14854" max="14854" width="18.5546875" style="59" customWidth="1"/>
    <col min="14855" max="14855" width="14.109375" style="59" customWidth="1"/>
    <col min="14856" max="14856" width="9.109375" style="59"/>
    <col min="14857" max="14857" width="22.5546875" style="59" customWidth="1"/>
    <col min="14858" max="14858" width="12.5546875" style="59" customWidth="1"/>
    <col min="14859" max="14859" width="13.33203125" style="59" bestFit="1" customWidth="1"/>
    <col min="14860" max="14862" width="12.88671875" style="59" customWidth="1"/>
    <col min="14863" max="14863" width="16.5546875" style="59" customWidth="1"/>
    <col min="14864" max="14865" width="17.88671875" style="59" customWidth="1"/>
    <col min="14866" max="14866" width="26.109375" style="59" customWidth="1"/>
    <col min="14867" max="14867" width="29.33203125" style="59" customWidth="1"/>
    <col min="14868" max="15104" width="9.109375" style="59"/>
    <col min="15105" max="15105" width="20.5546875" style="59" customWidth="1"/>
    <col min="15106" max="15106" width="9.5546875" style="59" customWidth="1"/>
    <col min="15107" max="15107" width="23.109375" style="59" customWidth="1"/>
    <col min="15108" max="15108" width="0" style="59" hidden="1" customWidth="1"/>
    <col min="15109" max="15109" width="18.33203125" style="59" customWidth="1"/>
    <col min="15110" max="15110" width="18.5546875" style="59" customWidth="1"/>
    <col min="15111" max="15111" width="14.109375" style="59" customWidth="1"/>
    <col min="15112" max="15112" width="9.109375" style="59"/>
    <col min="15113" max="15113" width="22.5546875" style="59" customWidth="1"/>
    <col min="15114" max="15114" width="12.5546875" style="59" customWidth="1"/>
    <col min="15115" max="15115" width="13.33203125" style="59" bestFit="1" customWidth="1"/>
    <col min="15116" max="15118" width="12.88671875" style="59" customWidth="1"/>
    <col min="15119" max="15119" width="16.5546875" style="59" customWidth="1"/>
    <col min="15120" max="15121" width="17.88671875" style="59" customWidth="1"/>
    <col min="15122" max="15122" width="26.109375" style="59" customWidth="1"/>
    <col min="15123" max="15123" width="29.33203125" style="59" customWidth="1"/>
    <col min="15124" max="15360" width="9.109375" style="59"/>
    <col min="15361" max="15361" width="20.5546875" style="59" customWidth="1"/>
    <col min="15362" max="15362" width="9.5546875" style="59" customWidth="1"/>
    <col min="15363" max="15363" width="23.109375" style="59" customWidth="1"/>
    <col min="15364" max="15364" width="0" style="59" hidden="1" customWidth="1"/>
    <col min="15365" max="15365" width="18.33203125" style="59" customWidth="1"/>
    <col min="15366" max="15366" width="18.5546875" style="59" customWidth="1"/>
    <col min="15367" max="15367" width="14.109375" style="59" customWidth="1"/>
    <col min="15368" max="15368" width="9.109375" style="59"/>
    <col min="15369" max="15369" width="22.5546875" style="59" customWidth="1"/>
    <col min="15370" max="15370" width="12.5546875" style="59" customWidth="1"/>
    <col min="15371" max="15371" width="13.33203125" style="59" bestFit="1" customWidth="1"/>
    <col min="15372" max="15374" width="12.88671875" style="59" customWidth="1"/>
    <col min="15375" max="15375" width="16.5546875" style="59" customWidth="1"/>
    <col min="15376" max="15377" width="17.88671875" style="59" customWidth="1"/>
    <col min="15378" max="15378" width="26.109375" style="59" customWidth="1"/>
    <col min="15379" max="15379" width="29.33203125" style="59" customWidth="1"/>
    <col min="15380" max="15616" width="9.109375" style="59"/>
    <col min="15617" max="15617" width="20.5546875" style="59" customWidth="1"/>
    <col min="15618" max="15618" width="9.5546875" style="59" customWidth="1"/>
    <col min="15619" max="15619" width="23.109375" style="59" customWidth="1"/>
    <col min="15620" max="15620" width="0" style="59" hidden="1" customWidth="1"/>
    <col min="15621" max="15621" width="18.33203125" style="59" customWidth="1"/>
    <col min="15622" max="15622" width="18.5546875" style="59" customWidth="1"/>
    <col min="15623" max="15623" width="14.109375" style="59" customWidth="1"/>
    <col min="15624" max="15624" width="9.109375" style="59"/>
    <col min="15625" max="15625" width="22.5546875" style="59" customWidth="1"/>
    <col min="15626" max="15626" width="12.5546875" style="59" customWidth="1"/>
    <col min="15627" max="15627" width="13.33203125" style="59" bestFit="1" customWidth="1"/>
    <col min="15628" max="15630" width="12.88671875" style="59" customWidth="1"/>
    <col min="15631" max="15631" width="16.5546875" style="59" customWidth="1"/>
    <col min="15632" max="15633" width="17.88671875" style="59" customWidth="1"/>
    <col min="15634" max="15634" width="26.109375" style="59" customWidth="1"/>
    <col min="15635" max="15635" width="29.33203125" style="59" customWidth="1"/>
    <col min="15636" max="15872" width="9.109375" style="59"/>
    <col min="15873" max="15873" width="20.5546875" style="59" customWidth="1"/>
    <col min="15874" max="15874" width="9.5546875" style="59" customWidth="1"/>
    <col min="15875" max="15875" width="23.109375" style="59" customWidth="1"/>
    <col min="15876" max="15876" width="0" style="59" hidden="1" customWidth="1"/>
    <col min="15877" max="15877" width="18.33203125" style="59" customWidth="1"/>
    <col min="15878" max="15878" width="18.5546875" style="59" customWidth="1"/>
    <col min="15879" max="15879" width="14.109375" style="59" customWidth="1"/>
    <col min="15880" max="15880" width="9.109375" style="59"/>
    <col min="15881" max="15881" width="22.5546875" style="59" customWidth="1"/>
    <col min="15882" max="15882" width="12.5546875" style="59" customWidth="1"/>
    <col min="15883" max="15883" width="13.33203125" style="59" bestFit="1" customWidth="1"/>
    <col min="15884" max="15886" width="12.88671875" style="59" customWidth="1"/>
    <col min="15887" max="15887" width="16.5546875" style="59" customWidth="1"/>
    <col min="15888" max="15889" width="17.88671875" style="59" customWidth="1"/>
    <col min="15890" max="15890" width="26.109375" style="59" customWidth="1"/>
    <col min="15891" max="15891" width="29.33203125" style="59" customWidth="1"/>
    <col min="15892" max="16128" width="9.109375" style="59"/>
    <col min="16129" max="16129" width="20.5546875" style="59" customWidth="1"/>
    <col min="16130" max="16130" width="9.5546875" style="59" customWidth="1"/>
    <col min="16131" max="16131" width="23.109375" style="59" customWidth="1"/>
    <col min="16132" max="16132" width="0" style="59" hidden="1" customWidth="1"/>
    <col min="16133" max="16133" width="18.33203125" style="59" customWidth="1"/>
    <col min="16134" max="16134" width="18.5546875" style="59" customWidth="1"/>
    <col min="16135" max="16135" width="14.109375" style="59" customWidth="1"/>
    <col min="16136" max="16136" width="9.109375" style="59"/>
    <col min="16137" max="16137" width="22.5546875" style="59" customWidth="1"/>
    <col min="16138" max="16138" width="12.5546875" style="59" customWidth="1"/>
    <col min="16139" max="16139" width="13.33203125" style="59" bestFit="1" customWidth="1"/>
    <col min="16140" max="16142" width="12.88671875" style="59" customWidth="1"/>
    <col min="16143" max="16143" width="16.5546875" style="59" customWidth="1"/>
    <col min="16144" max="16145" width="17.88671875" style="59" customWidth="1"/>
    <col min="16146" max="16146" width="26.109375" style="59" customWidth="1"/>
    <col min="16147" max="16147" width="29.33203125" style="59" customWidth="1"/>
    <col min="16148" max="16384" width="9.109375" style="59"/>
  </cols>
  <sheetData>
    <row r="1" spans="1:19" s="51" customFormat="1" ht="40.799999999999997" thickBot="1" x14ac:dyDescent="0.35">
      <c r="A1" s="49" t="s">
        <v>58</v>
      </c>
      <c r="B1" s="49" t="s">
        <v>59</v>
      </c>
      <c r="C1" s="49" t="s">
        <v>60</v>
      </c>
      <c r="D1" s="49" t="s">
        <v>61</v>
      </c>
      <c r="E1" s="49" t="s">
        <v>57</v>
      </c>
      <c r="F1" s="50" t="s">
        <v>62</v>
      </c>
      <c r="G1" s="50" t="s">
        <v>63</v>
      </c>
      <c r="H1" s="51" t="s">
        <v>64</v>
      </c>
      <c r="I1" s="52" t="s">
        <v>65</v>
      </c>
      <c r="J1" s="52" t="s">
        <v>66</v>
      </c>
      <c r="K1" s="53" t="s">
        <v>67</v>
      </c>
      <c r="L1" s="53" t="s">
        <v>68</v>
      </c>
      <c r="M1" s="53" t="s">
        <v>69</v>
      </c>
      <c r="N1" s="53" t="s">
        <v>70</v>
      </c>
      <c r="O1" s="53" t="s">
        <v>56</v>
      </c>
      <c r="P1" s="53" t="s">
        <v>71</v>
      </c>
      <c r="Q1" s="53" t="s">
        <v>72</v>
      </c>
      <c r="R1" s="53" t="s">
        <v>73</v>
      </c>
      <c r="S1" s="53" t="s">
        <v>74</v>
      </c>
    </row>
    <row r="2" spans="1:19" ht="13.8" x14ac:dyDescent="0.3">
      <c r="A2" s="54" t="s">
        <v>75</v>
      </c>
      <c r="B2" s="54" t="s">
        <v>76</v>
      </c>
      <c r="C2" s="55">
        <v>42280219</v>
      </c>
      <c r="D2" s="54" t="s">
        <v>77</v>
      </c>
      <c r="E2" s="55" t="s">
        <v>1883</v>
      </c>
      <c r="F2" s="55">
        <v>201410</v>
      </c>
      <c r="G2" s="56">
        <v>-1005.59</v>
      </c>
      <c r="H2" s="57">
        <f>ROUND(0.10128/12,5)</f>
        <v>8.4399999999999996E-3</v>
      </c>
      <c r="I2" s="58">
        <f>G2*H2</f>
        <v>-8.4871795999999993</v>
      </c>
      <c r="O2" s="60" t="s">
        <v>78</v>
      </c>
    </row>
    <row r="3" spans="1:19" ht="13.8" x14ac:dyDescent="0.3">
      <c r="A3" s="54" t="s">
        <v>75</v>
      </c>
      <c r="B3" s="54" t="s">
        <v>79</v>
      </c>
      <c r="C3" s="55">
        <v>42250242</v>
      </c>
      <c r="D3" s="54" t="s">
        <v>77</v>
      </c>
      <c r="E3" s="55" t="s">
        <v>55</v>
      </c>
      <c r="F3" s="55">
        <v>201410</v>
      </c>
      <c r="G3" s="56">
        <v>-1645.82</v>
      </c>
      <c r="H3" s="57">
        <f t="shared" ref="H3:H66" si="0">ROUND(0.10128/12,5)</f>
        <v>8.4399999999999996E-3</v>
      </c>
      <c r="I3" s="58">
        <f t="shared" ref="I3:I66" si="1">G3*H3</f>
        <v>-13.890720799999999</v>
      </c>
      <c r="O3" s="60" t="s">
        <v>78</v>
      </c>
    </row>
    <row r="4" spans="1:19" ht="13.8" x14ac:dyDescent="0.3">
      <c r="A4" s="54" t="s">
        <v>75</v>
      </c>
      <c r="B4" s="54" t="s">
        <v>79</v>
      </c>
      <c r="C4" s="55">
        <v>42271915</v>
      </c>
      <c r="D4" s="54" t="s">
        <v>77</v>
      </c>
      <c r="E4" s="55" t="s">
        <v>1883</v>
      </c>
      <c r="F4" s="55">
        <v>201410</v>
      </c>
      <c r="G4" s="56">
        <v>-2554.88</v>
      </c>
      <c r="H4" s="57">
        <f t="shared" si="0"/>
        <v>8.4399999999999996E-3</v>
      </c>
      <c r="I4" s="58">
        <f t="shared" si="1"/>
        <v>-21.563187200000002</v>
      </c>
      <c r="O4" s="60" t="s">
        <v>78</v>
      </c>
    </row>
    <row r="5" spans="1:19" ht="13.8" x14ac:dyDescent="0.3">
      <c r="A5" s="54" t="s">
        <v>75</v>
      </c>
      <c r="B5" s="54" t="s">
        <v>79</v>
      </c>
      <c r="C5" s="55">
        <v>42273725</v>
      </c>
      <c r="D5" s="54" t="s">
        <v>77</v>
      </c>
      <c r="E5" s="55" t="s">
        <v>55</v>
      </c>
      <c r="F5" s="55">
        <v>201410</v>
      </c>
      <c r="G5" s="56">
        <v>-2116.15</v>
      </c>
      <c r="H5" s="57">
        <f t="shared" si="0"/>
        <v>8.4399999999999996E-3</v>
      </c>
      <c r="I5" s="58">
        <f t="shared" si="1"/>
        <v>-17.860306000000001</v>
      </c>
      <c r="O5" s="60" t="s">
        <v>78</v>
      </c>
    </row>
    <row r="6" spans="1:19" ht="13.8" x14ac:dyDescent="0.3">
      <c r="A6" s="54" t="s">
        <v>75</v>
      </c>
      <c r="B6" s="54" t="s">
        <v>80</v>
      </c>
      <c r="C6" s="55">
        <v>42272702</v>
      </c>
      <c r="D6" s="54" t="s">
        <v>77</v>
      </c>
      <c r="E6" s="55" t="s">
        <v>55</v>
      </c>
      <c r="F6" s="55">
        <v>201410</v>
      </c>
      <c r="G6" s="56">
        <v>-2099.9299999999998</v>
      </c>
      <c r="H6" s="57">
        <f t="shared" si="0"/>
        <v>8.4399999999999996E-3</v>
      </c>
      <c r="I6" s="58">
        <f t="shared" si="1"/>
        <v>-17.723409199999999</v>
      </c>
      <c r="O6" s="60" t="s">
        <v>78</v>
      </c>
    </row>
    <row r="7" spans="1:19" ht="13.8" x14ac:dyDescent="0.3">
      <c r="A7" s="54" t="s">
        <v>75</v>
      </c>
      <c r="B7" s="54" t="s">
        <v>81</v>
      </c>
      <c r="C7" s="55">
        <v>42165752</v>
      </c>
      <c r="D7" s="54" t="s">
        <v>77</v>
      </c>
      <c r="E7" s="55" t="s">
        <v>55</v>
      </c>
      <c r="F7" s="55">
        <v>201410</v>
      </c>
      <c r="G7" s="56">
        <v>-2400.19</v>
      </c>
      <c r="H7" s="57">
        <f t="shared" si="0"/>
        <v>8.4399999999999996E-3</v>
      </c>
      <c r="I7" s="58">
        <f t="shared" si="1"/>
        <v>-20.257603599999999</v>
      </c>
      <c r="O7" s="60" t="s">
        <v>78</v>
      </c>
    </row>
    <row r="8" spans="1:19" ht="13.8" x14ac:dyDescent="0.3">
      <c r="A8" s="54" t="s">
        <v>75</v>
      </c>
      <c r="B8" s="54" t="s">
        <v>81</v>
      </c>
      <c r="C8" s="55">
        <v>42171835</v>
      </c>
      <c r="D8" s="54" t="s">
        <v>77</v>
      </c>
      <c r="E8" s="55" t="s">
        <v>55</v>
      </c>
      <c r="F8" s="55">
        <v>201410</v>
      </c>
      <c r="G8" s="56">
        <v>-2456.7199999999998</v>
      </c>
      <c r="H8" s="57">
        <f t="shared" si="0"/>
        <v>8.4399999999999996E-3</v>
      </c>
      <c r="I8" s="58">
        <f t="shared" si="1"/>
        <v>-20.734716799999998</v>
      </c>
      <c r="O8" s="60" t="s">
        <v>78</v>
      </c>
    </row>
    <row r="9" spans="1:19" ht="13.8" x14ac:dyDescent="0.3">
      <c r="A9" s="54" t="s">
        <v>75</v>
      </c>
      <c r="B9" s="54" t="s">
        <v>81</v>
      </c>
      <c r="C9" s="55">
        <v>42171846</v>
      </c>
      <c r="D9" s="54" t="s">
        <v>77</v>
      </c>
      <c r="E9" s="55" t="s">
        <v>55</v>
      </c>
      <c r="F9" s="55">
        <v>201410</v>
      </c>
      <c r="G9" s="56">
        <v>-18079.650000000001</v>
      </c>
      <c r="H9" s="57">
        <f t="shared" si="0"/>
        <v>8.4399999999999996E-3</v>
      </c>
      <c r="I9" s="58">
        <f t="shared" si="1"/>
        <v>-152.59224600000002</v>
      </c>
      <c r="O9" s="60" t="s">
        <v>78</v>
      </c>
    </row>
    <row r="10" spans="1:19" ht="13.8" x14ac:dyDescent="0.3">
      <c r="A10" s="54" t="s">
        <v>75</v>
      </c>
      <c r="B10" s="54" t="s">
        <v>81</v>
      </c>
      <c r="C10" s="55">
        <v>42190153</v>
      </c>
      <c r="D10" s="54" t="s">
        <v>77</v>
      </c>
      <c r="E10" s="55" t="s">
        <v>55</v>
      </c>
      <c r="F10" s="55">
        <v>201410</v>
      </c>
      <c r="G10" s="56">
        <v>-5778.61</v>
      </c>
      <c r="H10" s="57">
        <f t="shared" si="0"/>
        <v>8.4399999999999996E-3</v>
      </c>
      <c r="I10" s="58">
        <f t="shared" si="1"/>
        <v>-48.771468399999996</v>
      </c>
      <c r="O10" s="60" t="s">
        <v>78</v>
      </c>
    </row>
    <row r="11" spans="1:19" ht="13.8" x14ac:dyDescent="0.3">
      <c r="A11" s="54" t="s">
        <v>75</v>
      </c>
      <c r="B11" s="54" t="s">
        <v>81</v>
      </c>
      <c r="C11" s="55">
        <v>42216491</v>
      </c>
      <c r="D11" s="54" t="s">
        <v>77</v>
      </c>
      <c r="E11" s="55" t="s">
        <v>55</v>
      </c>
      <c r="F11" s="55">
        <v>201410</v>
      </c>
      <c r="G11" s="56">
        <v>-10080.370000000001</v>
      </c>
      <c r="H11" s="57">
        <f t="shared" si="0"/>
        <v>8.4399999999999996E-3</v>
      </c>
      <c r="I11" s="58">
        <f t="shared" si="1"/>
        <v>-85.078322800000009</v>
      </c>
      <c r="O11" s="60" t="s">
        <v>78</v>
      </c>
    </row>
    <row r="12" spans="1:19" ht="13.8" x14ac:dyDescent="0.3">
      <c r="A12" s="54" t="s">
        <v>75</v>
      </c>
      <c r="B12" s="54" t="s">
        <v>81</v>
      </c>
      <c r="C12" s="55">
        <v>42254651</v>
      </c>
      <c r="D12" s="54" t="s">
        <v>77</v>
      </c>
      <c r="E12" s="55" t="s">
        <v>55</v>
      </c>
      <c r="F12" s="55">
        <v>201410</v>
      </c>
      <c r="G12" s="56">
        <v>-1909.14</v>
      </c>
      <c r="H12" s="57">
        <f t="shared" si="0"/>
        <v>8.4399999999999996E-3</v>
      </c>
      <c r="I12" s="58">
        <f t="shared" si="1"/>
        <v>-16.113141599999999</v>
      </c>
      <c r="O12" s="60" t="s">
        <v>78</v>
      </c>
    </row>
    <row r="13" spans="1:19" ht="13.8" x14ac:dyDescent="0.3">
      <c r="A13" s="54" t="s">
        <v>75</v>
      </c>
      <c r="B13" s="54" t="s">
        <v>81</v>
      </c>
      <c r="C13" s="55">
        <v>42261186</v>
      </c>
      <c r="D13" s="54" t="s">
        <v>77</v>
      </c>
      <c r="E13" s="55" t="s">
        <v>1883</v>
      </c>
      <c r="F13" s="55">
        <v>201410</v>
      </c>
      <c r="G13" s="56">
        <v>-4994.01</v>
      </c>
      <c r="H13" s="57">
        <f t="shared" si="0"/>
        <v>8.4399999999999996E-3</v>
      </c>
      <c r="I13" s="58">
        <f t="shared" si="1"/>
        <v>-42.1494444</v>
      </c>
      <c r="O13" s="60" t="s">
        <v>78</v>
      </c>
    </row>
    <row r="14" spans="1:19" ht="13.8" x14ac:dyDescent="0.3">
      <c r="A14" s="54" t="s">
        <v>75</v>
      </c>
      <c r="B14" s="54" t="s">
        <v>82</v>
      </c>
      <c r="C14" s="55">
        <v>42162662</v>
      </c>
      <c r="D14" s="54" t="s">
        <v>77</v>
      </c>
      <c r="E14" s="55" t="s">
        <v>1883</v>
      </c>
      <c r="F14" s="55">
        <v>201410</v>
      </c>
      <c r="G14" s="56">
        <v>-44611.45</v>
      </c>
      <c r="H14" s="57">
        <f t="shared" si="0"/>
        <v>8.4399999999999996E-3</v>
      </c>
      <c r="I14" s="58">
        <f t="shared" si="1"/>
        <v>-376.52063799999996</v>
      </c>
      <c r="O14" s="60" t="s">
        <v>78</v>
      </c>
    </row>
    <row r="15" spans="1:19" ht="13.8" x14ac:dyDescent="0.3">
      <c r="A15" s="54" t="s">
        <v>75</v>
      </c>
      <c r="B15" s="54" t="s">
        <v>83</v>
      </c>
      <c r="C15" s="55">
        <v>42250618</v>
      </c>
      <c r="D15" s="54" t="s">
        <v>77</v>
      </c>
      <c r="E15" s="55" t="s">
        <v>1883</v>
      </c>
      <c r="F15" s="55">
        <v>201410</v>
      </c>
      <c r="G15" s="56">
        <v>-16828.599999999999</v>
      </c>
      <c r="H15" s="57">
        <f t="shared" si="0"/>
        <v>8.4399999999999996E-3</v>
      </c>
      <c r="I15" s="58">
        <f t="shared" si="1"/>
        <v>-142.03338399999998</v>
      </c>
      <c r="O15" s="60" t="s">
        <v>78</v>
      </c>
    </row>
    <row r="16" spans="1:19" ht="13.8" x14ac:dyDescent="0.3">
      <c r="A16" s="54" t="s">
        <v>75</v>
      </c>
      <c r="B16" s="54" t="s">
        <v>83</v>
      </c>
      <c r="C16" s="55">
        <v>42272313</v>
      </c>
      <c r="D16" s="54" t="s">
        <v>77</v>
      </c>
      <c r="E16" s="55" t="s">
        <v>1883</v>
      </c>
      <c r="F16" s="55">
        <v>201410</v>
      </c>
      <c r="G16" s="56">
        <v>-25040.1</v>
      </c>
      <c r="H16" s="57">
        <f t="shared" si="0"/>
        <v>8.4399999999999996E-3</v>
      </c>
      <c r="I16" s="58">
        <f t="shared" si="1"/>
        <v>-211.33844399999998</v>
      </c>
      <c r="O16" s="60" t="s">
        <v>78</v>
      </c>
    </row>
    <row r="17" spans="1:15" ht="13.8" x14ac:dyDescent="0.3">
      <c r="A17" s="54" t="s">
        <v>75</v>
      </c>
      <c r="B17" s="54" t="s">
        <v>84</v>
      </c>
      <c r="C17" s="55">
        <v>42258796</v>
      </c>
      <c r="D17" s="54" t="s">
        <v>77</v>
      </c>
      <c r="E17" s="55" t="s">
        <v>1883</v>
      </c>
      <c r="F17" s="55">
        <v>201410</v>
      </c>
      <c r="G17" s="56">
        <v>-5857.46</v>
      </c>
      <c r="H17" s="57">
        <f t="shared" si="0"/>
        <v>8.4399999999999996E-3</v>
      </c>
      <c r="I17" s="58">
        <f t="shared" si="1"/>
        <v>-49.436962399999999</v>
      </c>
      <c r="O17" s="60" t="s">
        <v>78</v>
      </c>
    </row>
    <row r="18" spans="1:15" ht="13.8" x14ac:dyDescent="0.3">
      <c r="A18" s="54" t="s">
        <v>75</v>
      </c>
      <c r="B18" s="54" t="s">
        <v>85</v>
      </c>
      <c r="C18" s="55">
        <v>42272224</v>
      </c>
      <c r="D18" s="54" t="s">
        <v>77</v>
      </c>
      <c r="E18" s="55" t="s">
        <v>55</v>
      </c>
      <c r="F18" s="55">
        <v>201410</v>
      </c>
      <c r="G18" s="56">
        <v>-12432.71</v>
      </c>
      <c r="H18" s="57">
        <f t="shared" si="0"/>
        <v>8.4399999999999996E-3</v>
      </c>
      <c r="I18" s="58">
        <f t="shared" si="1"/>
        <v>-104.93207239999998</v>
      </c>
      <c r="O18" s="60" t="s">
        <v>78</v>
      </c>
    </row>
    <row r="19" spans="1:15" ht="13.8" x14ac:dyDescent="0.3">
      <c r="A19" s="54" t="s">
        <v>75</v>
      </c>
      <c r="B19" s="54" t="s">
        <v>80</v>
      </c>
      <c r="C19" s="55">
        <v>42287303</v>
      </c>
      <c r="D19" s="54" t="s">
        <v>77</v>
      </c>
      <c r="E19" s="55" t="s">
        <v>55</v>
      </c>
      <c r="F19" s="55">
        <v>201411</v>
      </c>
      <c r="G19" s="56">
        <v>-1780.35</v>
      </c>
      <c r="H19" s="57">
        <f t="shared" si="0"/>
        <v>8.4399999999999996E-3</v>
      </c>
      <c r="I19" s="58">
        <f t="shared" si="1"/>
        <v>-15.026153999999998</v>
      </c>
      <c r="O19" s="60" t="s">
        <v>78</v>
      </c>
    </row>
    <row r="20" spans="1:15" ht="13.8" x14ac:dyDescent="0.3">
      <c r="A20" s="54" t="s">
        <v>75</v>
      </c>
      <c r="B20" s="54" t="s">
        <v>81</v>
      </c>
      <c r="C20" s="55">
        <v>42171825</v>
      </c>
      <c r="D20" s="54" t="s">
        <v>77</v>
      </c>
      <c r="E20" s="55" t="s">
        <v>55</v>
      </c>
      <c r="F20" s="55">
        <v>201411</v>
      </c>
      <c r="G20" s="56">
        <v>-28004.46</v>
      </c>
      <c r="H20" s="57">
        <f t="shared" si="0"/>
        <v>8.4399999999999996E-3</v>
      </c>
      <c r="I20" s="58">
        <f t="shared" si="1"/>
        <v>-236.35764239999997</v>
      </c>
      <c r="O20" s="60" t="s">
        <v>78</v>
      </c>
    </row>
    <row r="21" spans="1:15" ht="13.8" x14ac:dyDescent="0.3">
      <c r="A21" s="54" t="s">
        <v>75</v>
      </c>
      <c r="B21" s="54" t="s">
        <v>81</v>
      </c>
      <c r="C21" s="55">
        <v>42236748</v>
      </c>
      <c r="D21" s="54" t="s">
        <v>77</v>
      </c>
      <c r="E21" s="55" t="s">
        <v>55</v>
      </c>
      <c r="F21" s="55">
        <v>201411</v>
      </c>
      <c r="G21" s="56">
        <v>-2394.58</v>
      </c>
      <c r="H21" s="57">
        <f t="shared" si="0"/>
        <v>8.4399999999999996E-3</v>
      </c>
      <c r="I21" s="58">
        <f t="shared" si="1"/>
        <v>-20.210255199999999</v>
      </c>
      <c r="O21" s="60" t="s">
        <v>78</v>
      </c>
    </row>
    <row r="22" spans="1:15" ht="13.8" x14ac:dyDescent="0.3">
      <c r="A22" s="54" t="s">
        <v>75</v>
      </c>
      <c r="B22" s="54" t="s">
        <v>81</v>
      </c>
      <c r="C22" s="55">
        <v>42277536</v>
      </c>
      <c r="D22" s="54" t="s">
        <v>77</v>
      </c>
      <c r="E22" s="55" t="s">
        <v>55</v>
      </c>
      <c r="F22" s="55">
        <v>201411</v>
      </c>
      <c r="G22" s="56">
        <v>-6603.99</v>
      </c>
      <c r="H22" s="57">
        <f t="shared" si="0"/>
        <v>8.4399999999999996E-3</v>
      </c>
      <c r="I22" s="58">
        <f t="shared" si="1"/>
        <v>-55.737675599999996</v>
      </c>
      <c r="O22" s="60" t="s">
        <v>78</v>
      </c>
    </row>
    <row r="23" spans="1:15" ht="13.8" x14ac:dyDescent="0.3">
      <c r="A23" s="54" t="s">
        <v>75</v>
      </c>
      <c r="B23" s="54" t="s">
        <v>82</v>
      </c>
      <c r="C23" s="55">
        <v>42292799</v>
      </c>
      <c r="D23" s="54" t="s">
        <v>77</v>
      </c>
      <c r="E23" s="55" t="s">
        <v>1883</v>
      </c>
      <c r="F23" s="55">
        <v>201411</v>
      </c>
      <c r="G23" s="56">
        <v>-1355.34</v>
      </c>
      <c r="H23" s="57">
        <f t="shared" si="0"/>
        <v>8.4399999999999996E-3</v>
      </c>
      <c r="I23" s="58">
        <f t="shared" si="1"/>
        <v>-11.439069599999998</v>
      </c>
      <c r="O23" s="60" t="s">
        <v>78</v>
      </c>
    </row>
    <row r="24" spans="1:15" ht="13.8" x14ac:dyDescent="0.3">
      <c r="A24" s="54" t="s">
        <v>75</v>
      </c>
      <c r="B24" s="54" t="s">
        <v>82</v>
      </c>
      <c r="C24" s="55">
        <v>42293413</v>
      </c>
      <c r="D24" s="54" t="s">
        <v>77</v>
      </c>
      <c r="E24" s="55" t="s">
        <v>1883</v>
      </c>
      <c r="F24" s="55">
        <v>201411</v>
      </c>
      <c r="G24" s="56">
        <v>-1330.97</v>
      </c>
      <c r="H24" s="57">
        <f t="shared" si="0"/>
        <v>8.4399999999999996E-3</v>
      </c>
      <c r="I24" s="58">
        <f t="shared" si="1"/>
        <v>-11.2333868</v>
      </c>
      <c r="O24" s="60" t="s">
        <v>78</v>
      </c>
    </row>
    <row r="25" spans="1:15" ht="13.8" x14ac:dyDescent="0.3">
      <c r="A25" s="54" t="s">
        <v>75</v>
      </c>
      <c r="B25" s="54" t="s">
        <v>84</v>
      </c>
      <c r="C25" s="55">
        <v>42292793</v>
      </c>
      <c r="D25" s="54" t="s">
        <v>77</v>
      </c>
      <c r="E25" s="55" t="s">
        <v>1883</v>
      </c>
      <c r="F25" s="55">
        <v>201411</v>
      </c>
      <c r="G25" s="56">
        <v>-1370.69</v>
      </c>
      <c r="H25" s="57">
        <f t="shared" si="0"/>
        <v>8.4399999999999996E-3</v>
      </c>
      <c r="I25" s="58">
        <f t="shared" si="1"/>
        <v>-11.5686236</v>
      </c>
      <c r="O25" s="60" t="s">
        <v>78</v>
      </c>
    </row>
    <row r="26" spans="1:15" s="66" customFormat="1" ht="13.8" x14ac:dyDescent="0.3">
      <c r="A26" s="61" t="s">
        <v>75</v>
      </c>
      <c r="B26" s="61" t="s">
        <v>86</v>
      </c>
      <c r="C26" s="62">
        <v>41894478</v>
      </c>
      <c r="D26" s="61" t="s">
        <v>77</v>
      </c>
      <c r="E26" s="55" t="s">
        <v>1883</v>
      </c>
      <c r="F26" s="62">
        <v>201501</v>
      </c>
      <c r="G26" s="63">
        <v>-1008077.2</v>
      </c>
      <c r="H26" s="64">
        <f t="shared" si="0"/>
        <v>8.4399999999999996E-3</v>
      </c>
      <c r="I26" s="65">
        <f t="shared" si="1"/>
        <v>-8508.1715679999998</v>
      </c>
      <c r="J26" s="65"/>
      <c r="O26" s="60" t="s">
        <v>78</v>
      </c>
    </row>
    <row r="27" spans="1:15" ht="13.8" x14ac:dyDescent="0.3">
      <c r="A27" s="54" t="s">
        <v>75</v>
      </c>
      <c r="B27" s="54" t="s">
        <v>81</v>
      </c>
      <c r="C27" s="55">
        <v>42218790</v>
      </c>
      <c r="D27" s="54" t="s">
        <v>77</v>
      </c>
      <c r="E27" s="55" t="s">
        <v>55</v>
      </c>
      <c r="F27" s="55">
        <v>201501</v>
      </c>
      <c r="G27" s="56">
        <v>-1396.94</v>
      </c>
      <c r="H27" s="57">
        <f t="shared" si="0"/>
        <v>8.4399999999999996E-3</v>
      </c>
      <c r="I27" s="58">
        <f t="shared" si="1"/>
        <v>-11.790173599999999</v>
      </c>
      <c r="O27" s="60" t="s">
        <v>78</v>
      </c>
    </row>
    <row r="28" spans="1:15" ht="13.8" x14ac:dyDescent="0.3">
      <c r="A28" s="54" t="s">
        <v>75</v>
      </c>
      <c r="B28" s="54" t="s">
        <v>81</v>
      </c>
      <c r="C28" s="55">
        <v>42260046</v>
      </c>
      <c r="D28" s="54" t="s">
        <v>77</v>
      </c>
      <c r="E28" s="55" t="s">
        <v>1883</v>
      </c>
      <c r="F28" s="55">
        <v>201501</v>
      </c>
      <c r="G28" s="56">
        <v>-2186.83</v>
      </c>
      <c r="H28" s="57">
        <f t="shared" si="0"/>
        <v>8.4399999999999996E-3</v>
      </c>
      <c r="I28" s="58">
        <f t="shared" si="1"/>
        <v>-18.4568452</v>
      </c>
      <c r="O28" s="60" t="s">
        <v>78</v>
      </c>
    </row>
    <row r="29" spans="1:15" ht="13.8" x14ac:dyDescent="0.3">
      <c r="A29" s="54" t="s">
        <v>75</v>
      </c>
      <c r="B29" s="54" t="s">
        <v>81</v>
      </c>
      <c r="C29" s="55">
        <v>42300162</v>
      </c>
      <c r="D29" s="54" t="s">
        <v>77</v>
      </c>
      <c r="E29" s="55" t="s">
        <v>55</v>
      </c>
      <c r="F29" s="55">
        <v>201501</v>
      </c>
      <c r="G29" s="56">
        <v>-5929.98</v>
      </c>
      <c r="H29" s="57">
        <f t="shared" si="0"/>
        <v>8.4399999999999996E-3</v>
      </c>
      <c r="I29" s="58">
        <f t="shared" si="1"/>
        <v>-50.049031199999995</v>
      </c>
      <c r="O29" s="60" t="s">
        <v>78</v>
      </c>
    </row>
    <row r="30" spans="1:15" ht="13.8" x14ac:dyDescent="0.3">
      <c r="A30" s="54" t="s">
        <v>75</v>
      </c>
      <c r="B30" s="54" t="s">
        <v>87</v>
      </c>
      <c r="C30" s="55">
        <v>42298583</v>
      </c>
      <c r="D30" s="54" t="s">
        <v>77</v>
      </c>
      <c r="E30" s="55" t="s">
        <v>55</v>
      </c>
      <c r="F30" s="55">
        <v>201501</v>
      </c>
      <c r="G30" s="56">
        <v>-2541.36</v>
      </c>
      <c r="H30" s="57">
        <f t="shared" si="0"/>
        <v>8.4399999999999996E-3</v>
      </c>
      <c r="I30" s="58">
        <f t="shared" si="1"/>
        <v>-21.449078400000001</v>
      </c>
      <c r="O30" s="60" t="s">
        <v>78</v>
      </c>
    </row>
    <row r="31" spans="1:15" ht="13.8" x14ac:dyDescent="0.3">
      <c r="A31" s="54" t="s">
        <v>75</v>
      </c>
      <c r="B31" s="54" t="s">
        <v>88</v>
      </c>
      <c r="C31" s="55">
        <v>42230162</v>
      </c>
      <c r="D31" s="54" t="s">
        <v>77</v>
      </c>
      <c r="E31" s="55" t="s">
        <v>1883</v>
      </c>
      <c r="F31" s="55">
        <v>201501</v>
      </c>
      <c r="G31" s="56">
        <v>-22427.5</v>
      </c>
      <c r="H31" s="57">
        <f t="shared" si="0"/>
        <v>8.4399999999999996E-3</v>
      </c>
      <c r="I31" s="58">
        <f t="shared" si="1"/>
        <v>-189.28809999999999</v>
      </c>
      <c r="O31" s="60" t="s">
        <v>78</v>
      </c>
    </row>
    <row r="32" spans="1:15" ht="13.8" x14ac:dyDescent="0.3">
      <c r="A32" s="54" t="s">
        <v>75</v>
      </c>
      <c r="B32" s="54" t="s">
        <v>83</v>
      </c>
      <c r="C32" s="55">
        <v>42254146</v>
      </c>
      <c r="D32" s="54" t="s">
        <v>77</v>
      </c>
      <c r="E32" s="55" t="s">
        <v>55</v>
      </c>
      <c r="F32" s="55">
        <v>201501</v>
      </c>
      <c r="G32" s="56">
        <v>-4876.66</v>
      </c>
      <c r="H32" s="57">
        <f t="shared" si="0"/>
        <v>8.4399999999999996E-3</v>
      </c>
      <c r="I32" s="58">
        <f t="shared" si="1"/>
        <v>-41.1590104</v>
      </c>
      <c r="O32" s="60" t="s">
        <v>78</v>
      </c>
    </row>
    <row r="33" spans="1:19" ht="13.8" x14ac:dyDescent="0.3">
      <c r="A33" s="54" t="s">
        <v>75</v>
      </c>
      <c r="B33" s="54" t="s">
        <v>83</v>
      </c>
      <c r="C33" s="55">
        <v>42258764</v>
      </c>
      <c r="D33" s="54" t="s">
        <v>77</v>
      </c>
      <c r="E33" s="55" t="s">
        <v>55</v>
      </c>
      <c r="F33" s="55">
        <v>201501</v>
      </c>
      <c r="G33" s="56">
        <v>-2748.09</v>
      </c>
      <c r="H33" s="57">
        <f t="shared" si="0"/>
        <v>8.4399999999999996E-3</v>
      </c>
      <c r="I33" s="58">
        <f t="shared" si="1"/>
        <v>-23.193879599999999</v>
      </c>
      <c r="O33" s="60" t="s">
        <v>78</v>
      </c>
    </row>
    <row r="34" spans="1:19" ht="13.8" x14ac:dyDescent="0.3">
      <c r="A34" s="54" t="s">
        <v>75</v>
      </c>
      <c r="B34" s="54" t="s">
        <v>83</v>
      </c>
      <c r="C34" s="55">
        <v>42293475</v>
      </c>
      <c r="D34" s="54" t="s">
        <v>77</v>
      </c>
      <c r="E34" s="55" t="s">
        <v>55</v>
      </c>
      <c r="F34" s="55">
        <v>201501</v>
      </c>
      <c r="G34" s="56">
        <v>-2034.39</v>
      </c>
      <c r="H34" s="57">
        <f t="shared" si="0"/>
        <v>8.4399999999999996E-3</v>
      </c>
      <c r="I34" s="58">
        <f t="shared" si="1"/>
        <v>-17.1702516</v>
      </c>
      <c r="O34" s="60" t="s">
        <v>78</v>
      </c>
    </row>
    <row r="35" spans="1:19" ht="13.8" x14ac:dyDescent="0.3">
      <c r="A35" s="54" t="s">
        <v>75</v>
      </c>
      <c r="B35" s="54" t="s">
        <v>89</v>
      </c>
      <c r="C35" s="55">
        <v>42230162</v>
      </c>
      <c r="D35" s="54" t="s">
        <v>77</v>
      </c>
      <c r="E35" s="55" t="s">
        <v>1883</v>
      </c>
      <c r="F35" s="55">
        <v>201501</v>
      </c>
      <c r="G35" s="56">
        <v>-0.5</v>
      </c>
      <c r="H35" s="57">
        <f t="shared" si="0"/>
        <v>8.4399999999999996E-3</v>
      </c>
      <c r="I35" s="58">
        <f t="shared" si="1"/>
        <v>-4.2199999999999998E-3</v>
      </c>
      <c r="O35" s="60" t="s">
        <v>78</v>
      </c>
    </row>
    <row r="36" spans="1:19" ht="13.8" x14ac:dyDescent="0.3">
      <c r="A36" s="54" t="s">
        <v>75</v>
      </c>
      <c r="B36" s="54" t="s">
        <v>84</v>
      </c>
      <c r="C36" s="55">
        <v>42320706</v>
      </c>
      <c r="D36" s="54" t="s">
        <v>77</v>
      </c>
      <c r="E36" s="55" t="s">
        <v>1883</v>
      </c>
      <c r="F36" s="55">
        <v>201501</v>
      </c>
      <c r="G36" s="56">
        <v>-7241.55</v>
      </c>
      <c r="H36" s="57">
        <f t="shared" si="0"/>
        <v>8.4399999999999996E-3</v>
      </c>
      <c r="I36" s="58">
        <f t="shared" si="1"/>
        <v>-61.118682</v>
      </c>
      <c r="O36" s="60" t="s">
        <v>78</v>
      </c>
    </row>
    <row r="37" spans="1:19" ht="13.8" x14ac:dyDescent="0.3">
      <c r="A37" s="54" t="s">
        <v>75</v>
      </c>
      <c r="B37" s="54" t="s">
        <v>84</v>
      </c>
      <c r="C37" s="55">
        <v>42320706</v>
      </c>
      <c r="D37" s="54" t="s">
        <v>77</v>
      </c>
      <c r="E37" s="55" t="s">
        <v>1883</v>
      </c>
      <c r="F37" s="55">
        <v>201501</v>
      </c>
      <c r="G37" s="56">
        <v>-1.5</v>
      </c>
      <c r="H37" s="57">
        <f t="shared" si="0"/>
        <v>8.4399999999999996E-3</v>
      </c>
      <c r="I37" s="58">
        <f t="shared" si="1"/>
        <v>-1.2659999999999999E-2</v>
      </c>
      <c r="O37" s="60" t="s">
        <v>78</v>
      </c>
    </row>
    <row r="38" spans="1:19" ht="13.8" x14ac:dyDescent="0.3">
      <c r="A38" s="54" t="s">
        <v>75</v>
      </c>
      <c r="B38" s="54" t="s">
        <v>81</v>
      </c>
      <c r="C38" s="55">
        <v>42211076</v>
      </c>
      <c r="D38" s="54" t="s">
        <v>77</v>
      </c>
      <c r="E38" s="55" t="s">
        <v>55</v>
      </c>
      <c r="F38" s="55">
        <v>201502</v>
      </c>
      <c r="G38" s="56">
        <v>-89214.43</v>
      </c>
      <c r="H38" s="57">
        <f t="shared" si="0"/>
        <v>8.4399999999999996E-3</v>
      </c>
      <c r="I38" s="58">
        <f t="shared" si="1"/>
        <v>-752.96978919999992</v>
      </c>
      <c r="O38" s="60" t="s">
        <v>78</v>
      </c>
    </row>
    <row r="39" spans="1:19" ht="13.8" x14ac:dyDescent="0.3">
      <c r="A39" s="54" t="s">
        <v>75</v>
      </c>
      <c r="B39" s="54" t="s">
        <v>81</v>
      </c>
      <c r="C39" s="55">
        <v>42244895</v>
      </c>
      <c r="D39" s="54" t="s">
        <v>77</v>
      </c>
      <c r="E39" s="55" t="s">
        <v>55</v>
      </c>
      <c r="F39" s="55">
        <v>201502</v>
      </c>
      <c r="G39" s="56">
        <v>-3994.07</v>
      </c>
      <c r="H39" s="57">
        <f t="shared" si="0"/>
        <v>8.4399999999999996E-3</v>
      </c>
      <c r="I39" s="58">
        <f t="shared" si="1"/>
        <v>-33.709950800000001</v>
      </c>
      <c r="O39" s="60" t="s">
        <v>78</v>
      </c>
    </row>
    <row r="40" spans="1:19" ht="13.8" x14ac:dyDescent="0.3">
      <c r="A40" s="54" t="s">
        <v>75</v>
      </c>
      <c r="B40" s="54" t="s">
        <v>81</v>
      </c>
      <c r="C40" s="55">
        <v>42280881</v>
      </c>
      <c r="D40" s="54" t="s">
        <v>77</v>
      </c>
      <c r="E40" s="55" t="s">
        <v>55</v>
      </c>
      <c r="F40" s="55">
        <v>201502</v>
      </c>
      <c r="G40" s="56">
        <v>-2399.12</v>
      </c>
      <c r="H40" s="57">
        <f t="shared" si="0"/>
        <v>8.4399999999999996E-3</v>
      </c>
      <c r="I40" s="58">
        <f t="shared" si="1"/>
        <v>-20.248572799999998</v>
      </c>
      <c r="O40" s="60" t="s">
        <v>78</v>
      </c>
    </row>
    <row r="41" spans="1:19" ht="13.8" x14ac:dyDescent="0.3">
      <c r="A41" s="54" t="s">
        <v>75</v>
      </c>
      <c r="B41" s="54" t="s">
        <v>89</v>
      </c>
      <c r="C41" s="55">
        <v>42264127</v>
      </c>
      <c r="D41" s="54" t="s">
        <v>77</v>
      </c>
      <c r="E41" s="55" t="s">
        <v>55</v>
      </c>
      <c r="F41" s="55">
        <v>201502</v>
      </c>
      <c r="G41" s="56">
        <v>-114491.53</v>
      </c>
      <c r="H41" s="57">
        <f t="shared" si="0"/>
        <v>8.4399999999999996E-3</v>
      </c>
      <c r="I41" s="58">
        <f t="shared" si="1"/>
        <v>-966.30851319999999</v>
      </c>
      <c r="O41" s="60" t="s">
        <v>78</v>
      </c>
    </row>
    <row r="42" spans="1:19" ht="13.8" x14ac:dyDescent="0.3">
      <c r="A42" s="54" t="s">
        <v>75</v>
      </c>
      <c r="B42" s="54" t="s">
        <v>80</v>
      </c>
      <c r="C42" s="55">
        <v>42320396</v>
      </c>
      <c r="D42" s="54" t="s">
        <v>77</v>
      </c>
      <c r="E42" s="55" t="s">
        <v>1883</v>
      </c>
      <c r="F42" s="55">
        <v>201503</v>
      </c>
      <c r="G42" s="56">
        <v>-3097.07</v>
      </c>
      <c r="H42" s="57">
        <f t="shared" si="0"/>
        <v>8.4399999999999996E-3</v>
      </c>
      <c r="I42" s="58">
        <f t="shared" si="1"/>
        <v>-26.139270799999998</v>
      </c>
      <c r="L42" s="59" t="s">
        <v>13</v>
      </c>
      <c r="O42" s="60" t="s">
        <v>78</v>
      </c>
    </row>
    <row r="43" spans="1:19" ht="13.8" x14ac:dyDescent="0.3">
      <c r="A43" s="54" t="s">
        <v>75</v>
      </c>
      <c r="B43" s="54" t="s">
        <v>81</v>
      </c>
      <c r="C43" s="55">
        <v>42336301</v>
      </c>
      <c r="D43" s="54" t="s">
        <v>77</v>
      </c>
      <c r="E43" s="55" t="s">
        <v>1883</v>
      </c>
      <c r="F43" s="55">
        <v>201503</v>
      </c>
      <c r="G43" s="56">
        <v>-10524.42</v>
      </c>
      <c r="H43" s="57">
        <f t="shared" si="0"/>
        <v>8.4399999999999996E-3</v>
      </c>
      <c r="I43" s="58">
        <f t="shared" si="1"/>
        <v>-88.826104799999996</v>
      </c>
      <c r="O43" s="60" t="s">
        <v>78</v>
      </c>
    </row>
    <row r="44" spans="1:19" ht="13.8" x14ac:dyDescent="0.3">
      <c r="A44" s="54" t="s">
        <v>75</v>
      </c>
      <c r="B44" s="54" t="s">
        <v>84</v>
      </c>
      <c r="C44" s="55">
        <v>42294436</v>
      </c>
      <c r="D44" s="54" t="s">
        <v>77</v>
      </c>
      <c r="E44" s="55" t="s">
        <v>1883</v>
      </c>
      <c r="F44" s="55">
        <v>201503</v>
      </c>
      <c r="G44" s="56">
        <v>-0.5</v>
      </c>
      <c r="H44" s="57">
        <f t="shared" si="0"/>
        <v>8.4399999999999996E-3</v>
      </c>
      <c r="I44" s="58">
        <f t="shared" si="1"/>
        <v>-4.2199999999999998E-3</v>
      </c>
      <c r="O44" s="60" t="s">
        <v>78</v>
      </c>
    </row>
    <row r="45" spans="1:19" ht="13.8" x14ac:dyDescent="0.3">
      <c r="A45" s="54" t="s">
        <v>75</v>
      </c>
      <c r="B45" s="54" t="s">
        <v>84</v>
      </c>
      <c r="C45" s="55">
        <v>42294436</v>
      </c>
      <c r="D45" s="54" t="s">
        <v>77</v>
      </c>
      <c r="E45" s="55" t="s">
        <v>1883</v>
      </c>
      <c r="F45" s="55">
        <v>201503</v>
      </c>
      <c r="G45" s="56">
        <v>-16339.65</v>
      </c>
      <c r="H45" s="57">
        <f t="shared" si="0"/>
        <v>8.4399999999999996E-3</v>
      </c>
      <c r="I45" s="58">
        <f t="shared" si="1"/>
        <v>-137.90664599999999</v>
      </c>
      <c r="O45" s="60" t="s">
        <v>78</v>
      </c>
    </row>
    <row r="46" spans="1:19" ht="14.4" x14ac:dyDescent="0.3">
      <c r="A46" s="54" t="s">
        <v>75</v>
      </c>
      <c r="B46" s="54" t="s">
        <v>81</v>
      </c>
      <c r="C46" s="55">
        <v>42230170</v>
      </c>
      <c r="D46" s="54" t="s">
        <v>77</v>
      </c>
      <c r="E46" s="55" t="s">
        <v>1883</v>
      </c>
      <c r="F46" s="55">
        <v>201505</v>
      </c>
      <c r="G46" s="56">
        <v>-81697.429999999993</v>
      </c>
      <c r="H46" s="57">
        <f t="shared" si="0"/>
        <v>8.4399999999999996E-3</v>
      </c>
      <c r="I46" s="58">
        <f t="shared" si="1"/>
        <v>-689.5263091999999</v>
      </c>
      <c r="J46" s="55">
        <f>F46</f>
        <v>201505</v>
      </c>
      <c r="K46" s="45">
        <f>SUM(I$2:I46)</f>
        <v>-13368.558931200003</v>
      </c>
      <c r="L46" s="45">
        <f>0.0305*(SUM(G$2:G46))/12</f>
        <v>-4025.8792200000003</v>
      </c>
      <c r="M46" s="67">
        <f>(0.02164*0.6*0.05)*SUM(G$2:G46)/12</f>
        <v>-85.691829167999984</v>
      </c>
      <c r="N46" s="45">
        <f>K46+L46+M46</f>
        <v>-17480.129980368005</v>
      </c>
      <c r="O46" s="60" t="s">
        <v>78</v>
      </c>
      <c r="P46" s="68">
        <v>0.88700000000000001</v>
      </c>
      <c r="Q46" s="58">
        <f>N46*P46</f>
        <v>-15504.875292586421</v>
      </c>
      <c r="R46" s="68">
        <v>5.8999999999999997E-2</v>
      </c>
      <c r="S46" s="58">
        <f>N46*R46</f>
        <v>-1031.3276688417122</v>
      </c>
    </row>
    <row r="47" spans="1:19" ht="13.8" x14ac:dyDescent="0.3">
      <c r="A47" s="54" t="s">
        <v>75</v>
      </c>
      <c r="B47" s="54" t="s">
        <v>81</v>
      </c>
      <c r="C47" s="55">
        <v>42361093</v>
      </c>
      <c r="D47" s="54" t="s">
        <v>77</v>
      </c>
      <c r="E47" s="55" t="s">
        <v>55</v>
      </c>
      <c r="F47" s="55">
        <v>201506</v>
      </c>
      <c r="G47" s="56">
        <v>-3401.78</v>
      </c>
      <c r="H47" s="57">
        <f t="shared" si="0"/>
        <v>8.4399999999999996E-3</v>
      </c>
      <c r="I47" s="58">
        <f t="shared" si="1"/>
        <v>-28.7110232</v>
      </c>
      <c r="O47" s="60" t="s">
        <v>90</v>
      </c>
      <c r="P47" s="68"/>
      <c r="Q47" s="68"/>
      <c r="R47" s="68"/>
    </row>
    <row r="48" spans="1:19" ht="13.8" x14ac:dyDescent="0.3">
      <c r="A48" s="54" t="s">
        <v>75</v>
      </c>
      <c r="B48" s="54" t="s">
        <v>81</v>
      </c>
      <c r="C48" s="55">
        <v>42386785</v>
      </c>
      <c r="D48" s="54" t="s">
        <v>77</v>
      </c>
      <c r="E48" s="55" t="s">
        <v>55</v>
      </c>
      <c r="F48" s="55">
        <v>201506</v>
      </c>
      <c r="G48" s="56">
        <v>-471.29</v>
      </c>
      <c r="H48" s="57">
        <f t="shared" si="0"/>
        <v>8.4399999999999996E-3</v>
      </c>
      <c r="I48" s="58">
        <f t="shared" si="1"/>
        <v>-3.9776875999999999</v>
      </c>
      <c r="O48" s="60" t="s">
        <v>90</v>
      </c>
      <c r="P48" s="68"/>
      <c r="Q48" s="68"/>
      <c r="R48" s="68"/>
    </row>
    <row r="49" spans="1:19" ht="13.8" x14ac:dyDescent="0.3">
      <c r="A49" s="54" t="s">
        <v>75</v>
      </c>
      <c r="B49" s="54" t="s">
        <v>81</v>
      </c>
      <c r="C49" s="55">
        <v>42393129</v>
      </c>
      <c r="D49" s="54" t="s">
        <v>77</v>
      </c>
      <c r="E49" s="55" t="s">
        <v>55</v>
      </c>
      <c r="F49" s="55">
        <v>201506</v>
      </c>
      <c r="G49" s="56">
        <v>-759.02</v>
      </c>
      <c r="H49" s="57">
        <f t="shared" si="0"/>
        <v>8.4399999999999996E-3</v>
      </c>
      <c r="I49" s="58">
        <f t="shared" si="1"/>
        <v>-6.4061287999999994</v>
      </c>
      <c r="O49" s="60" t="s">
        <v>90</v>
      </c>
      <c r="P49" s="68"/>
      <c r="Q49" s="68"/>
      <c r="R49" s="68"/>
    </row>
    <row r="50" spans="1:19" ht="13.8" x14ac:dyDescent="0.3">
      <c r="A50" s="54" t="s">
        <v>75</v>
      </c>
      <c r="B50" s="54" t="s">
        <v>88</v>
      </c>
      <c r="C50" s="55">
        <v>42350784</v>
      </c>
      <c r="D50" s="54" t="s">
        <v>77</v>
      </c>
      <c r="E50" s="55" t="s">
        <v>1883</v>
      </c>
      <c r="F50" s="55">
        <v>201506</v>
      </c>
      <c r="G50" s="56">
        <v>-1974.6</v>
      </c>
      <c r="H50" s="57">
        <f t="shared" si="0"/>
        <v>8.4399999999999996E-3</v>
      </c>
      <c r="I50" s="58">
        <f t="shared" si="1"/>
        <v>-16.665623999999998</v>
      </c>
      <c r="O50" s="60" t="s">
        <v>90</v>
      </c>
      <c r="P50" s="68"/>
      <c r="Q50" s="68"/>
      <c r="R50" s="68"/>
    </row>
    <row r="51" spans="1:19" ht="14.4" x14ac:dyDescent="0.3">
      <c r="A51" s="54" t="s">
        <v>75</v>
      </c>
      <c r="B51" s="54" t="s">
        <v>85</v>
      </c>
      <c r="C51" s="55">
        <v>42349174</v>
      </c>
      <c r="D51" s="54" t="s">
        <v>77</v>
      </c>
      <c r="E51" s="55" t="s">
        <v>1883</v>
      </c>
      <c r="F51" s="55">
        <v>201506</v>
      </c>
      <c r="G51" s="56">
        <v>-10636</v>
      </c>
      <c r="H51" s="57">
        <f t="shared" si="0"/>
        <v>8.4399999999999996E-3</v>
      </c>
      <c r="I51" s="58">
        <f t="shared" si="1"/>
        <v>-89.767839999999993</v>
      </c>
      <c r="J51" s="55">
        <f>F51</f>
        <v>201506</v>
      </c>
      <c r="K51" s="45">
        <f>SUM(I$2:I51)</f>
        <v>-13514.087234800001</v>
      </c>
      <c r="L51" s="45">
        <f>0.0305*(SUM(G$2:G51))/12</f>
        <v>-4069.7043904166671</v>
      </c>
      <c r="M51" s="67">
        <f>(0.02164*0.6*0.05)*SUM(G$2:G51)/12</f>
        <v>-86.624658697000015</v>
      </c>
      <c r="N51" s="45">
        <f>K51+L51+M51</f>
        <v>-17670.41628391367</v>
      </c>
      <c r="O51" s="60" t="s">
        <v>90</v>
      </c>
      <c r="P51" s="68">
        <v>0.81200000000000006</v>
      </c>
      <c r="Q51" s="58">
        <f>N51*P51</f>
        <v>-14348.378022537901</v>
      </c>
      <c r="R51" s="68">
        <v>0.152</v>
      </c>
      <c r="S51" s="58">
        <f>N51*R51</f>
        <v>-2685.9032751548775</v>
      </c>
    </row>
    <row r="52" spans="1:19" ht="13.8" x14ac:dyDescent="0.3">
      <c r="A52" s="54" t="s">
        <v>75</v>
      </c>
      <c r="B52" s="54" t="s">
        <v>80</v>
      </c>
      <c r="C52" s="55">
        <v>42206963</v>
      </c>
      <c r="D52" s="54" t="s">
        <v>77</v>
      </c>
      <c r="E52" s="55" t="s">
        <v>55</v>
      </c>
      <c r="F52" s="55">
        <v>201507</v>
      </c>
      <c r="G52" s="56">
        <v>-1179.45</v>
      </c>
      <c r="H52" s="57">
        <f t="shared" si="0"/>
        <v>8.4399999999999996E-3</v>
      </c>
      <c r="I52" s="58">
        <f t="shared" si="1"/>
        <v>-9.9545580000000005</v>
      </c>
      <c r="O52" s="60" t="s">
        <v>91</v>
      </c>
      <c r="P52" s="68"/>
      <c r="Q52" s="68"/>
      <c r="R52" s="68"/>
    </row>
    <row r="53" spans="1:19" ht="13.8" x14ac:dyDescent="0.3">
      <c r="A53" s="54" t="s">
        <v>75</v>
      </c>
      <c r="B53" s="54" t="s">
        <v>81</v>
      </c>
      <c r="C53" s="55">
        <v>42235466</v>
      </c>
      <c r="D53" s="54" t="s">
        <v>77</v>
      </c>
      <c r="E53" s="55" t="s">
        <v>1883</v>
      </c>
      <c r="F53" s="55">
        <v>201507</v>
      </c>
      <c r="G53" s="56">
        <v>-0.5</v>
      </c>
      <c r="H53" s="57">
        <f t="shared" si="0"/>
        <v>8.4399999999999996E-3</v>
      </c>
      <c r="I53" s="58">
        <f t="shared" si="1"/>
        <v>-4.2199999999999998E-3</v>
      </c>
      <c r="O53" s="60" t="s">
        <v>91</v>
      </c>
      <c r="P53" s="68"/>
      <c r="Q53" s="68"/>
      <c r="R53" s="68"/>
    </row>
    <row r="54" spans="1:19" ht="13.8" x14ac:dyDescent="0.3">
      <c r="A54" s="54" t="s">
        <v>75</v>
      </c>
      <c r="B54" s="54" t="s">
        <v>81</v>
      </c>
      <c r="C54" s="55">
        <v>42280789</v>
      </c>
      <c r="D54" s="54" t="s">
        <v>77</v>
      </c>
      <c r="E54" s="55" t="s">
        <v>1883</v>
      </c>
      <c r="F54" s="55">
        <v>201507</v>
      </c>
      <c r="G54" s="56">
        <v>-15503.83</v>
      </c>
      <c r="H54" s="57">
        <f t="shared" si="0"/>
        <v>8.4399999999999996E-3</v>
      </c>
      <c r="I54" s="58">
        <f t="shared" si="1"/>
        <v>-130.8523252</v>
      </c>
      <c r="O54" s="60" t="s">
        <v>91</v>
      </c>
      <c r="P54" s="68"/>
      <c r="Q54" s="68"/>
      <c r="R54" s="68"/>
    </row>
    <row r="55" spans="1:19" ht="13.8" x14ac:dyDescent="0.3">
      <c r="A55" s="54" t="s">
        <v>75</v>
      </c>
      <c r="B55" s="54" t="s">
        <v>81</v>
      </c>
      <c r="C55" s="55">
        <v>42283334</v>
      </c>
      <c r="D55" s="54" t="s">
        <v>77</v>
      </c>
      <c r="E55" s="55" t="s">
        <v>55</v>
      </c>
      <c r="F55" s="55">
        <v>201507</v>
      </c>
      <c r="G55" s="56">
        <v>-1028.5</v>
      </c>
      <c r="H55" s="57">
        <f t="shared" si="0"/>
        <v>8.4399999999999996E-3</v>
      </c>
      <c r="I55" s="58">
        <f t="shared" si="1"/>
        <v>-8.6805399999999988</v>
      </c>
      <c r="O55" s="60" t="s">
        <v>91</v>
      </c>
      <c r="P55" s="68"/>
      <c r="Q55" s="68"/>
      <c r="R55" s="68"/>
    </row>
    <row r="56" spans="1:19" ht="13.8" x14ac:dyDescent="0.3">
      <c r="A56" s="54" t="s">
        <v>75</v>
      </c>
      <c r="B56" s="54" t="s">
        <v>81</v>
      </c>
      <c r="C56" s="55">
        <v>42293120</v>
      </c>
      <c r="D56" s="54" t="s">
        <v>77</v>
      </c>
      <c r="E56" s="55" t="s">
        <v>55</v>
      </c>
      <c r="F56" s="55">
        <v>201507</v>
      </c>
      <c r="G56" s="56">
        <v>-2377.4899999999998</v>
      </c>
      <c r="H56" s="57">
        <f t="shared" si="0"/>
        <v>8.4399999999999996E-3</v>
      </c>
      <c r="I56" s="58">
        <f t="shared" si="1"/>
        <v>-20.066015599999997</v>
      </c>
      <c r="O56" s="60" t="s">
        <v>91</v>
      </c>
      <c r="P56" s="68"/>
      <c r="Q56" s="68"/>
      <c r="R56" s="68"/>
    </row>
    <row r="57" spans="1:19" ht="13.8" x14ac:dyDescent="0.3">
      <c r="A57" s="54" t="s">
        <v>75</v>
      </c>
      <c r="B57" s="54" t="s">
        <v>81</v>
      </c>
      <c r="C57" s="55">
        <v>42319158</v>
      </c>
      <c r="D57" s="54" t="s">
        <v>77</v>
      </c>
      <c r="E57" s="55" t="s">
        <v>55</v>
      </c>
      <c r="F57" s="55">
        <v>201507</v>
      </c>
      <c r="G57" s="56">
        <v>-1146.44</v>
      </c>
      <c r="H57" s="57">
        <f t="shared" si="0"/>
        <v>8.4399999999999996E-3</v>
      </c>
      <c r="I57" s="58">
        <f t="shared" si="1"/>
        <v>-9.6759535999999997</v>
      </c>
      <c r="O57" s="60" t="s">
        <v>91</v>
      </c>
      <c r="P57" s="68"/>
      <c r="Q57" s="68"/>
      <c r="R57" s="68"/>
    </row>
    <row r="58" spans="1:19" ht="13.8" x14ac:dyDescent="0.3">
      <c r="A58" s="54" t="s">
        <v>75</v>
      </c>
      <c r="B58" s="54" t="s">
        <v>81</v>
      </c>
      <c r="C58" s="55">
        <v>42346625</v>
      </c>
      <c r="D58" s="54" t="s">
        <v>77</v>
      </c>
      <c r="E58" s="55" t="s">
        <v>55</v>
      </c>
      <c r="F58" s="55">
        <v>201507</v>
      </c>
      <c r="G58" s="56">
        <v>-6247.75</v>
      </c>
      <c r="H58" s="57">
        <f t="shared" si="0"/>
        <v>8.4399999999999996E-3</v>
      </c>
      <c r="I58" s="58">
        <f t="shared" si="1"/>
        <v>-52.731009999999998</v>
      </c>
      <c r="O58" s="60" t="s">
        <v>91</v>
      </c>
      <c r="P58" s="68"/>
      <c r="Q58" s="68"/>
      <c r="R58" s="68"/>
    </row>
    <row r="59" spans="1:19" ht="13.8" x14ac:dyDescent="0.3">
      <c r="A59" s="54" t="s">
        <v>75</v>
      </c>
      <c r="B59" s="54" t="s">
        <v>81</v>
      </c>
      <c r="C59" s="55">
        <v>42386633</v>
      </c>
      <c r="D59" s="54" t="s">
        <v>77</v>
      </c>
      <c r="E59" s="55" t="s">
        <v>55</v>
      </c>
      <c r="F59" s="55">
        <v>201507</v>
      </c>
      <c r="G59" s="56">
        <v>-4596.1000000000004</v>
      </c>
      <c r="H59" s="57">
        <f t="shared" si="0"/>
        <v>8.4399999999999996E-3</v>
      </c>
      <c r="I59" s="58">
        <f t="shared" si="1"/>
        <v>-38.791083999999998</v>
      </c>
      <c r="O59" s="60" t="s">
        <v>91</v>
      </c>
      <c r="P59" s="68"/>
      <c r="Q59" s="68"/>
      <c r="R59" s="68"/>
    </row>
    <row r="60" spans="1:19" ht="13.8" x14ac:dyDescent="0.3">
      <c r="A60" s="54" t="s">
        <v>75</v>
      </c>
      <c r="B60" s="54" t="s">
        <v>83</v>
      </c>
      <c r="C60" s="55">
        <v>42314367</v>
      </c>
      <c r="D60" s="54" t="s">
        <v>77</v>
      </c>
      <c r="E60" s="55" t="s">
        <v>55</v>
      </c>
      <c r="F60" s="55">
        <v>201507</v>
      </c>
      <c r="G60" s="56">
        <v>-0.5</v>
      </c>
      <c r="H60" s="57">
        <f t="shared" si="0"/>
        <v>8.4399999999999996E-3</v>
      </c>
      <c r="I60" s="58">
        <f t="shared" si="1"/>
        <v>-4.2199999999999998E-3</v>
      </c>
      <c r="O60" s="60" t="s">
        <v>91</v>
      </c>
      <c r="P60" s="68"/>
      <c r="Q60" s="68"/>
      <c r="R60" s="68"/>
    </row>
    <row r="61" spans="1:19" ht="14.4" x14ac:dyDescent="0.3">
      <c r="A61" s="54" t="s">
        <v>75</v>
      </c>
      <c r="B61" s="54" t="s">
        <v>83</v>
      </c>
      <c r="C61" s="55">
        <v>42349533</v>
      </c>
      <c r="D61" s="54" t="s">
        <v>77</v>
      </c>
      <c r="E61" s="55" t="s">
        <v>1883</v>
      </c>
      <c r="F61" s="55">
        <v>201507</v>
      </c>
      <c r="G61" s="56">
        <v>-6643.35</v>
      </c>
      <c r="H61" s="57">
        <f t="shared" si="0"/>
        <v>8.4399999999999996E-3</v>
      </c>
      <c r="I61" s="58">
        <f t="shared" si="1"/>
        <v>-56.069873999999999</v>
      </c>
      <c r="J61" s="55">
        <f>F61</f>
        <v>201507</v>
      </c>
      <c r="K61" s="45">
        <f>SUM(I$2:I61)</f>
        <v>-13840.917035200002</v>
      </c>
      <c r="L61" s="45">
        <f>0.0352*(SUM(G$2:G61))/12</f>
        <v>-4810.4293013333345</v>
      </c>
      <c r="M61" s="67">
        <f>(0.02164*0.6*0.05)*SUM(G$2:G61)/12</f>
        <v>-88.719622228000006</v>
      </c>
      <c r="N61" s="45">
        <f>K61+L61+M61</f>
        <v>-18740.065958761337</v>
      </c>
      <c r="O61" s="60" t="s">
        <v>91</v>
      </c>
      <c r="P61" s="68">
        <v>0.86</v>
      </c>
      <c r="Q61" s="58">
        <f>N61*P61</f>
        <v>-16116.45672453475</v>
      </c>
      <c r="R61" s="68">
        <v>0.121</v>
      </c>
      <c r="S61" s="58">
        <f>N61*R61</f>
        <v>-2267.5479810101219</v>
      </c>
    </row>
    <row r="62" spans="1:19" ht="14.4" x14ac:dyDescent="0.3">
      <c r="A62" s="54" t="s">
        <v>75</v>
      </c>
      <c r="B62" s="54" t="s">
        <v>85</v>
      </c>
      <c r="C62" s="55">
        <v>42299345</v>
      </c>
      <c r="D62" s="54" t="s">
        <v>77</v>
      </c>
      <c r="E62" s="55" t="s">
        <v>1883</v>
      </c>
      <c r="F62" s="55">
        <v>201508</v>
      </c>
      <c r="G62" s="56">
        <v>-0.5</v>
      </c>
      <c r="H62" s="57">
        <f t="shared" si="0"/>
        <v>8.4399999999999996E-3</v>
      </c>
      <c r="I62" s="58">
        <f t="shared" si="1"/>
        <v>-4.2199999999999998E-3</v>
      </c>
      <c r="J62" s="55">
        <f>F62</f>
        <v>201508</v>
      </c>
      <c r="K62" s="45">
        <f>SUM(I$2:I62)</f>
        <v>-13840.921255200003</v>
      </c>
      <c r="L62" s="45">
        <f>0.0352*(SUM(G$2:G62))/12</f>
        <v>-4810.4307680000011</v>
      </c>
      <c r="M62" s="67">
        <f>(0.02164*0.6*0.05)*SUM(G$2:G62)/12</f>
        <v>-88.719649278000006</v>
      </c>
      <c r="N62" s="45">
        <f>K62+L62+M62</f>
        <v>-18740.071672478003</v>
      </c>
      <c r="O62" s="60" t="s">
        <v>92</v>
      </c>
      <c r="P62" s="68">
        <v>0.90300000000000002</v>
      </c>
      <c r="Q62" s="58">
        <f>N62*P62</f>
        <v>-16922.284720247637</v>
      </c>
      <c r="R62" s="68">
        <v>0.08</v>
      </c>
      <c r="S62" s="58">
        <f>N62*R62</f>
        <v>-1499.2057337982403</v>
      </c>
    </row>
    <row r="63" spans="1:19" ht="14.4" x14ac:dyDescent="0.3">
      <c r="A63" s="54" t="s">
        <v>75</v>
      </c>
      <c r="B63" s="54" t="s">
        <v>76</v>
      </c>
      <c r="C63" s="55">
        <v>42419633</v>
      </c>
      <c r="D63" s="54" t="s">
        <v>77</v>
      </c>
      <c r="E63" s="55" t="s">
        <v>1883</v>
      </c>
      <c r="F63" s="55">
        <v>201509</v>
      </c>
      <c r="G63" s="56">
        <v>-2826.88</v>
      </c>
      <c r="H63" s="57">
        <f t="shared" si="0"/>
        <v>8.4399999999999996E-3</v>
      </c>
      <c r="I63" s="58">
        <f t="shared" si="1"/>
        <v>-23.858867199999999</v>
      </c>
      <c r="J63" s="55">
        <f>F63</f>
        <v>201509</v>
      </c>
      <c r="K63" s="45">
        <f>SUM(I$2:I63)</f>
        <v>-13864.780122400003</v>
      </c>
      <c r="L63" s="45">
        <f>0.0352*(SUM(G$2:G63))/12</f>
        <v>-4818.7229493333343</v>
      </c>
      <c r="M63" s="67">
        <f>(0.02164*0.6*0.05)*SUM(G$2:G63)/12</f>
        <v>-88.872583485999996</v>
      </c>
      <c r="N63" s="45">
        <f>K63+L63+M63</f>
        <v>-18772.375655219337</v>
      </c>
      <c r="O63" s="60" t="s">
        <v>93</v>
      </c>
      <c r="P63" s="68">
        <v>0.97499999999999998</v>
      </c>
      <c r="Q63" s="58">
        <f>N63*P63</f>
        <v>-18303.066263838853</v>
      </c>
      <c r="R63" s="68">
        <v>1.2999999999999999E-2</v>
      </c>
      <c r="S63" s="58">
        <f>N63*R63</f>
        <v>-244.04088351785137</v>
      </c>
    </row>
    <row r="64" spans="1:19" s="66" customFormat="1" ht="14.4" x14ac:dyDescent="0.3">
      <c r="A64" s="61" t="s">
        <v>75</v>
      </c>
      <c r="B64" s="61" t="s">
        <v>80</v>
      </c>
      <c r="C64" s="62">
        <v>42438168</v>
      </c>
      <c r="D64" s="61" t="s">
        <v>77</v>
      </c>
      <c r="E64" s="55" t="s">
        <v>1883</v>
      </c>
      <c r="F64" s="62">
        <v>201510</v>
      </c>
      <c r="G64" s="63">
        <v>-4229.29</v>
      </c>
      <c r="H64" s="64">
        <f t="shared" si="0"/>
        <v>8.4399999999999996E-3</v>
      </c>
      <c r="I64" s="65">
        <f t="shared" si="1"/>
        <v>-35.695207599999996</v>
      </c>
      <c r="J64" s="62">
        <f>F64</f>
        <v>201510</v>
      </c>
      <c r="K64" s="69">
        <f>SUM(I$2:I64)</f>
        <v>-13900.475330000003</v>
      </c>
      <c r="L64" s="45">
        <f>0.0305*(SUM(G$2:G64))/12</f>
        <v>-4186.0633645833341</v>
      </c>
      <c r="M64" s="67">
        <f>(0.02164*0.6*0.05)*SUM(G$2:G64)/12</f>
        <v>-89.101388075000003</v>
      </c>
      <c r="N64" s="45">
        <f>K64+L64+M64</f>
        <v>-18175.640082658338</v>
      </c>
      <c r="O64" s="70" t="s">
        <v>94</v>
      </c>
      <c r="P64" s="68">
        <v>0.95699999999999996</v>
      </c>
      <c r="Q64" s="58">
        <f>N64*P64</f>
        <v>-17394.087559104028</v>
      </c>
      <c r="R64" s="68">
        <v>0.03</v>
      </c>
      <c r="S64" s="58">
        <f>N64*R64</f>
        <v>-545.26920247975011</v>
      </c>
    </row>
    <row r="65" spans="1:19" s="66" customFormat="1" ht="13.8" x14ac:dyDescent="0.3">
      <c r="A65" s="61" t="s">
        <v>75</v>
      </c>
      <c r="B65" s="61" t="s">
        <v>81</v>
      </c>
      <c r="C65" s="62">
        <v>42328993</v>
      </c>
      <c r="D65" s="61" t="s">
        <v>77</v>
      </c>
      <c r="E65" s="55" t="s">
        <v>55</v>
      </c>
      <c r="F65" s="62">
        <v>201511</v>
      </c>
      <c r="G65" s="63">
        <v>-2012.87</v>
      </c>
      <c r="H65" s="64">
        <f t="shared" si="0"/>
        <v>8.4399999999999996E-3</v>
      </c>
      <c r="I65" s="65">
        <f t="shared" si="1"/>
        <v>-16.988622799999998</v>
      </c>
      <c r="J65" s="65"/>
      <c r="O65" s="70" t="s">
        <v>95</v>
      </c>
      <c r="P65" s="68"/>
      <c r="Q65" s="68"/>
      <c r="R65" s="68"/>
    </row>
    <row r="66" spans="1:19" s="66" customFormat="1" ht="13.8" x14ac:dyDescent="0.3">
      <c r="A66" s="61" t="s">
        <v>75</v>
      </c>
      <c r="B66" s="61" t="s">
        <v>81</v>
      </c>
      <c r="C66" s="62">
        <v>42343105</v>
      </c>
      <c r="D66" s="61" t="s">
        <v>77</v>
      </c>
      <c r="E66" s="55" t="s">
        <v>1883</v>
      </c>
      <c r="F66" s="62">
        <v>201511</v>
      </c>
      <c r="G66" s="63">
        <v>-467.85</v>
      </c>
      <c r="H66" s="64">
        <f t="shared" si="0"/>
        <v>8.4399999999999996E-3</v>
      </c>
      <c r="I66" s="65">
        <f t="shared" si="1"/>
        <v>-3.9486539999999999</v>
      </c>
      <c r="J66" s="65"/>
      <c r="O66" s="70" t="s">
        <v>95</v>
      </c>
      <c r="P66" s="68"/>
      <c r="Q66" s="68"/>
      <c r="R66" s="68"/>
    </row>
    <row r="67" spans="1:19" s="66" customFormat="1" ht="13.8" x14ac:dyDescent="0.3">
      <c r="A67" s="61" t="s">
        <v>75</v>
      </c>
      <c r="B67" s="61" t="s">
        <v>81</v>
      </c>
      <c r="C67" s="62">
        <v>42346620</v>
      </c>
      <c r="D67" s="61" t="s">
        <v>77</v>
      </c>
      <c r="E67" s="55" t="s">
        <v>55</v>
      </c>
      <c r="F67" s="62">
        <v>201511</v>
      </c>
      <c r="G67" s="63">
        <v>-7894.66</v>
      </c>
      <c r="H67" s="64">
        <f t="shared" ref="H67:H109" si="2">ROUND(0.10128/12,5)</f>
        <v>8.4399999999999996E-3</v>
      </c>
      <c r="I67" s="65">
        <f t="shared" ref="I67:I109" si="3">G67*H67</f>
        <v>-66.630930399999997</v>
      </c>
      <c r="J67" s="65"/>
      <c r="O67" s="70" t="s">
        <v>95</v>
      </c>
      <c r="P67" s="68"/>
      <c r="Q67" s="68"/>
      <c r="R67" s="68"/>
    </row>
    <row r="68" spans="1:19" s="66" customFormat="1" ht="13.8" x14ac:dyDescent="0.3">
      <c r="A68" s="61" t="s">
        <v>75</v>
      </c>
      <c r="B68" s="61" t="s">
        <v>81</v>
      </c>
      <c r="C68" s="62">
        <v>42356872</v>
      </c>
      <c r="D68" s="61" t="s">
        <v>77</v>
      </c>
      <c r="E68" s="55" t="s">
        <v>1883</v>
      </c>
      <c r="F68" s="62">
        <v>201511</v>
      </c>
      <c r="G68" s="63">
        <v>-1</v>
      </c>
      <c r="H68" s="64">
        <f t="shared" si="2"/>
        <v>8.4399999999999996E-3</v>
      </c>
      <c r="I68" s="65">
        <f t="shared" si="3"/>
        <v>-8.4399999999999996E-3</v>
      </c>
      <c r="J68" s="65"/>
      <c r="O68" s="70" t="s">
        <v>95</v>
      </c>
      <c r="P68" s="68"/>
      <c r="Q68" s="68"/>
      <c r="R68" s="68"/>
    </row>
    <row r="69" spans="1:19" s="66" customFormat="1" ht="13.8" x14ac:dyDescent="0.3">
      <c r="A69" s="61" t="s">
        <v>75</v>
      </c>
      <c r="B69" s="61" t="s">
        <v>81</v>
      </c>
      <c r="C69" s="62">
        <v>42413526</v>
      </c>
      <c r="D69" s="61" t="s">
        <v>77</v>
      </c>
      <c r="E69" s="55" t="s">
        <v>55</v>
      </c>
      <c r="F69" s="62">
        <v>201511</v>
      </c>
      <c r="G69" s="63">
        <v>-1022.21</v>
      </c>
      <c r="H69" s="64">
        <f t="shared" si="2"/>
        <v>8.4399999999999996E-3</v>
      </c>
      <c r="I69" s="65">
        <f t="shared" si="3"/>
        <v>-8.6274523999999992</v>
      </c>
      <c r="J69" s="65"/>
      <c r="O69" s="70" t="s">
        <v>95</v>
      </c>
      <c r="P69" s="68"/>
      <c r="Q69" s="68"/>
      <c r="R69" s="68"/>
    </row>
    <row r="70" spans="1:19" s="66" customFormat="1" ht="13.8" x14ac:dyDescent="0.3">
      <c r="A70" s="61" t="s">
        <v>75</v>
      </c>
      <c r="B70" s="61" t="s">
        <v>81</v>
      </c>
      <c r="C70" s="62">
        <v>42467777</v>
      </c>
      <c r="D70" s="61" t="s">
        <v>77</v>
      </c>
      <c r="E70" s="55" t="s">
        <v>55</v>
      </c>
      <c r="F70" s="62">
        <v>201511</v>
      </c>
      <c r="G70" s="63">
        <v>-875.98</v>
      </c>
      <c r="H70" s="64">
        <f t="shared" si="2"/>
        <v>8.4399999999999996E-3</v>
      </c>
      <c r="I70" s="65">
        <f t="shared" si="3"/>
        <v>-7.3932712</v>
      </c>
      <c r="J70" s="65"/>
      <c r="O70" s="70" t="s">
        <v>95</v>
      </c>
      <c r="P70" s="68"/>
      <c r="Q70" s="68"/>
      <c r="R70" s="68"/>
    </row>
    <row r="71" spans="1:19" s="66" customFormat="1" ht="13.8" x14ac:dyDescent="0.3">
      <c r="A71" s="61" t="s">
        <v>75</v>
      </c>
      <c r="B71" s="61" t="s">
        <v>87</v>
      </c>
      <c r="C71" s="62">
        <v>42315471</v>
      </c>
      <c r="D71" s="61" t="s">
        <v>77</v>
      </c>
      <c r="E71" s="55" t="s">
        <v>1883</v>
      </c>
      <c r="F71" s="62">
        <v>201511</v>
      </c>
      <c r="G71" s="63">
        <v>-3375.31</v>
      </c>
      <c r="H71" s="64">
        <f t="shared" si="2"/>
        <v>8.4399999999999996E-3</v>
      </c>
      <c r="I71" s="65">
        <f t="shared" si="3"/>
        <v>-28.487616399999997</v>
      </c>
      <c r="J71" s="65"/>
      <c r="O71" s="70" t="s">
        <v>95</v>
      </c>
      <c r="P71" s="68"/>
      <c r="Q71" s="68"/>
      <c r="R71" s="68"/>
    </row>
    <row r="72" spans="1:19" s="66" customFormat="1" ht="13.8" x14ac:dyDescent="0.3">
      <c r="A72" s="61" t="s">
        <v>75</v>
      </c>
      <c r="B72" s="61" t="s">
        <v>89</v>
      </c>
      <c r="C72" s="62">
        <v>42415022</v>
      </c>
      <c r="D72" s="61" t="s">
        <v>77</v>
      </c>
      <c r="E72" s="55" t="s">
        <v>1883</v>
      </c>
      <c r="F72" s="62">
        <v>201511</v>
      </c>
      <c r="G72" s="63">
        <v>-48900.04</v>
      </c>
      <c r="H72" s="64">
        <f t="shared" si="2"/>
        <v>8.4399999999999996E-3</v>
      </c>
      <c r="I72" s="65">
        <f t="shared" si="3"/>
        <v>-412.71633759999997</v>
      </c>
      <c r="J72" s="65"/>
      <c r="O72" s="70" t="s">
        <v>95</v>
      </c>
      <c r="P72" s="68"/>
      <c r="Q72" s="68"/>
      <c r="R72" s="68"/>
    </row>
    <row r="73" spans="1:19" s="66" customFormat="1" ht="13.8" x14ac:dyDescent="0.3">
      <c r="A73" s="61" t="s">
        <v>75</v>
      </c>
      <c r="B73" s="61" t="s">
        <v>89</v>
      </c>
      <c r="C73" s="62">
        <v>42415024</v>
      </c>
      <c r="D73" s="61" t="s">
        <v>77</v>
      </c>
      <c r="E73" s="55" t="s">
        <v>1883</v>
      </c>
      <c r="F73" s="62">
        <v>201511</v>
      </c>
      <c r="G73" s="63">
        <v>-57716.1</v>
      </c>
      <c r="H73" s="64">
        <f t="shared" si="2"/>
        <v>8.4399999999999996E-3</v>
      </c>
      <c r="I73" s="65">
        <f t="shared" si="3"/>
        <v>-487.12388399999998</v>
      </c>
      <c r="J73" s="65"/>
      <c r="O73" s="70" t="s">
        <v>95</v>
      </c>
      <c r="P73" s="68"/>
      <c r="Q73" s="68"/>
      <c r="R73" s="68"/>
    </row>
    <row r="74" spans="1:19" s="66" customFormat="1" ht="13.8" x14ac:dyDescent="0.3">
      <c r="A74" s="61" t="s">
        <v>75</v>
      </c>
      <c r="B74" s="61" t="s">
        <v>84</v>
      </c>
      <c r="C74" s="62">
        <v>42335209</v>
      </c>
      <c r="D74" s="61" t="s">
        <v>77</v>
      </c>
      <c r="E74" s="55" t="s">
        <v>55</v>
      </c>
      <c r="F74" s="62">
        <v>201511</v>
      </c>
      <c r="G74" s="63">
        <v>-14897.24</v>
      </c>
      <c r="H74" s="64">
        <f t="shared" si="2"/>
        <v>8.4399999999999996E-3</v>
      </c>
      <c r="I74" s="65">
        <f t="shared" si="3"/>
        <v>-125.73270559999999</v>
      </c>
      <c r="J74" s="65"/>
      <c r="O74" s="70" t="s">
        <v>95</v>
      </c>
      <c r="P74" s="68"/>
      <c r="Q74" s="68"/>
      <c r="R74" s="68"/>
    </row>
    <row r="75" spans="1:19" s="66" customFormat="1" ht="13.8" x14ac:dyDescent="0.3">
      <c r="A75" s="61" t="s">
        <v>75</v>
      </c>
      <c r="B75" s="61" t="s">
        <v>84</v>
      </c>
      <c r="C75" s="62">
        <v>42335209</v>
      </c>
      <c r="D75" s="61" t="s">
        <v>77</v>
      </c>
      <c r="E75" s="55" t="s">
        <v>55</v>
      </c>
      <c r="F75" s="62">
        <v>201511</v>
      </c>
      <c r="G75" s="63">
        <v>-1</v>
      </c>
      <c r="H75" s="64">
        <f t="shared" si="2"/>
        <v>8.4399999999999996E-3</v>
      </c>
      <c r="I75" s="65">
        <f t="shared" si="3"/>
        <v>-8.4399999999999996E-3</v>
      </c>
      <c r="J75" s="65"/>
      <c r="O75" s="70" t="s">
        <v>95</v>
      </c>
      <c r="P75" s="68"/>
      <c r="Q75" s="68"/>
      <c r="R75" s="68"/>
    </row>
    <row r="76" spans="1:19" s="66" customFormat="1" ht="14.4" x14ac:dyDescent="0.3">
      <c r="A76" s="61" t="s">
        <v>75</v>
      </c>
      <c r="B76" s="61" t="s">
        <v>84</v>
      </c>
      <c r="C76" s="62">
        <v>42441549</v>
      </c>
      <c r="D76" s="61" t="s">
        <v>77</v>
      </c>
      <c r="E76" s="55" t="s">
        <v>1883</v>
      </c>
      <c r="F76" s="62">
        <v>201511</v>
      </c>
      <c r="G76" s="63">
        <v>-12170.15</v>
      </c>
      <c r="H76" s="64">
        <f t="shared" si="2"/>
        <v>8.4399999999999996E-3</v>
      </c>
      <c r="I76" s="65">
        <f t="shared" si="3"/>
        <v>-102.716066</v>
      </c>
      <c r="J76" s="62">
        <f>F76</f>
        <v>201511</v>
      </c>
      <c r="K76" s="69">
        <f>SUM(I$2:I76)</f>
        <v>-15160.857750400004</v>
      </c>
      <c r="L76" s="45">
        <f>0.0305*(SUM(G$2:G76))/12</f>
        <v>-4565.6216566666671</v>
      </c>
      <c r="M76" s="67">
        <f>(0.02164*0.6*0.05)*SUM(G$2:G76)/12</f>
        <v>-97.180379656000014</v>
      </c>
      <c r="N76" s="45">
        <f>K76+L76+M76</f>
        <v>-19823.659786722674</v>
      </c>
      <c r="O76" s="70" t="s">
        <v>95</v>
      </c>
      <c r="P76" s="68">
        <v>0.98</v>
      </c>
      <c r="Q76" s="58">
        <f>N76*P76</f>
        <v>-19427.186590988222</v>
      </c>
      <c r="R76" s="68">
        <v>8.9999999999999993E-3</v>
      </c>
      <c r="S76" s="58">
        <f>N76*R76</f>
        <v>-178.41293808050406</v>
      </c>
    </row>
    <row r="77" spans="1:19" s="66" customFormat="1" ht="13.8" x14ac:dyDescent="0.3">
      <c r="A77" s="61" t="s">
        <v>75</v>
      </c>
      <c r="B77" s="61" t="s">
        <v>84</v>
      </c>
      <c r="C77" s="62">
        <v>42446603</v>
      </c>
      <c r="D77" s="61" t="s">
        <v>77</v>
      </c>
      <c r="E77" s="55" t="s">
        <v>1883</v>
      </c>
      <c r="F77" s="62">
        <v>201512</v>
      </c>
      <c r="G77" s="63">
        <v>-1684.57</v>
      </c>
      <c r="H77" s="64">
        <f t="shared" si="2"/>
        <v>8.4399999999999996E-3</v>
      </c>
      <c r="I77" s="65">
        <f t="shared" si="3"/>
        <v>-14.217770799999998</v>
      </c>
      <c r="J77" s="65"/>
      <c r="O77" s="70" t="s">
        <v>44</v>
      </c>
      <c r="P77" s="68"/>
      <c r="Q77" s="68"/>
      <c r="R77" s="68"/>
    </row>
    <row r="78" spans="1:19" s="66" customFormat="1" ht="13.8" x14ac:dyDescent="0.3">
      <c r="A78" s="61" t="s">
        <v>75</v>
      </c>
      <c r="B78" s="61" t="s">
        <v>85</v>
      </c>
      <c r="C78" s="62">
        <v>42433332</v>
      </c>
      <c r="D78" s="61" t="s">
        <v>77</v>
      </c>
      <c r="E78" s="55" t="s">
        <v>55</v>
      </c>
      <c r="F78" s="62">
        <v>201512</v>
      </c>
      <c r="G78" s="63">
        <v>-12723.89</v>
      </c>
      <c r="H78" s="64">
        <f t="shared" si="2"/>
        <v>8.4399999999999996E-3</v>
      </c>
      <c r="I78" s="65">
        <f t="shared" si="3"/>
        <v>-107.38963159999999</v>
      </c>
      <c r="J78" s="65"/>
      <c r="O78" s="70" t="s">
        <v>44</v>
      </c>
      <c r="P78" s="68"/>
      <c r="Q78" s="68"/>
      <c r="R78" s="68"/>
    </row>
    <row r="79" spans="1:19" s="66" customFormat="1" ht="14.4" x14ac:dyDescent="0.3">
      <c r="A79" s="61" t="s">
        <v>75</v>
      </c>
      <c r="B79" s="61" t="s">
        <v>85</v>
      </c>
      <c r="C79" s="62">
        <v>42453340</v>
      </c>
      <c r="D79" s="61" t="s">
        <v>77</v>
      </c>
      <c r="E79" s="55" t="s">
        <v>55</v>
      </c>
      <c r="F79" s="62">
        <v>201512</v>
      </c>
      <c r="G79" s="63">
        <v>-26712.04</v>
      </c>
      <c r="H79" s="64">
        <f t="shared" si="2"/>
        <v>8.4399999999999996E-3</v>
      </c>
      <c r="I79" s="65">
        <f t="shared" si="3"/>
        <v>-225.44961760000001</v>
      </c>
      <c r="J79" s="62">
        <f>F79</f>
        <v>201512</v>
      </c>
      <c r="K79" s="69">
        <f>SUM(I$2:I79)</f>
        <v>-15507.914770400002</v>
      </c>
      <c r="L79" s="45">
        <f>0.0305*(SUM(G$2:G79))/12</f>
        <v>-4670.1362608333338</v>
      </c>
      <c r="M79" s="67">
        <f>(0.02164*0.6*0.05)*SUM(G$2:G79)/12</f>
        <v>-99.404998706000015</v>
      </c>
      <c r="N79" s="45">
        <f>K79+L79+M79</f>
        <v>-20277.456029939334</v>
      </c>
      <c r="O79" s="70" t="s">
        <v>44</v>
      </c>
      <c r="P79" s="68">
        <v>0.97399999999999998</v>
      </c>
      <c r="Q79" s="58">
        <f>N79*P79</f>
        <v>-19750.24217316091</v>
      </c>
      <c r="R79" s="68">
        <v>1.2999999999999999E-2</v>
      </c>
      <c r="S79" s="58">
        <f>N79*R79</f>
        <v>-263.6069283892113</v>
      </c>
    </row>
    <row r="80" spans="1:19" s="66" customFormat="1" ht="13.8" x14ac:dyDescent="0.3">
      <c r="A80" s="61" t="s">
        <v>75</v>
      </c>
      <c r="B80" s="61" t="s">
        <v>81</v>
      </c>
      <c r="C80" s="62">
        <v>42330815</v>
      </c>
      <c r="D80" s="61" t="s">
        <v>77</v>
      </c>
      <c r="E80" s="55" t="s">
        <v>55</v>
      </c>
      <c r="F80" s="62">
        <v>201601</v>
      </c>
      <c r="G80" s="63">
        <v>-3</v>
      </c>
      <c r="H80" s="64">
        <f t="shared" si="2"/>
        <v>8.4399999999999996E-3</v>
      </c>
      <c r="I80" s="65">
        <f t="shared" si="3"/>
        <v>-2.5319999999999999E-2</v>
      </c>
      <c r="J80" s="65"/>
      <c r="O80" s="70" t="s">
        <v>45</v>
      </c>
      <c r="P80" s="68"/>
      <c r="Q80" s="68"/>
      <c r="R80" s="68"/>
    </row>
    <row r="81" spans="1:19" s="66" customFormat="1" ht="13.8" x14ac:dyDescent="0.3">
      <c r="A81" s="61" t="s">
        <v>75</v>
      </c>
      <c r="B81" s="61" t="s">
        <v>83</v>
      </c>
      <c r="C81" s="62">
        <v>42314379</v>
      </c>
      <c r="D81" s="61" t="s">
        <v>77</v>
      </c>
      <c r="E81" s="55" t="s">
        <v>1883</v>
      </c>
      <c r="F81" s="62">
        <v>201601</v>
      </c>
      <c r="G81" s="63">
        <v>-7047.29</v>
      </c>
      <c r="H81" s="64">
        <f t="shared" si="2"/>
        <v>8.4399999999999996E-3</v>
      </c>
      <c r="I81" s="65">
        <f t="shared" si="3"/>
        <v>-59.479127599999998</v>
      </c>
      <c r="J81" s="65"/>
      <c r="O81" s="70" t="s">
        <v>45</v>
      </c>
      <c r="P81" s="68"/>
      <c r="Q81" s="68"/>
      <c r="R81" s="68"/>
    </row>
    <row r="82" spans="1:19" s="66" customFormat="1" ht="13.8" x14ac:dyDescent="0.3">
      <c r="A82" s="61" t="s">
        <v>75</v>
      </c>
      <c r="B82" s="61" t="s">
        <v>83</v>
      </c>
      <c r="C82" s="62">
        <v>42314379</v>
      </c>
      <c r="D82" s="61" t="s">
        <v>77</v>
      </c>
      <c r="E82" s="55" t="s">
        <v>1883</v>
      </c>
      <c r="F82" s="62">
        <v>201601</v>
      </c>
      <c r="G82" s="63">
        <v>-2</v>
      </c>
      <c r="H82" s="64">
        <f t="shared" si="2"/>
        <v>8.4399999999999996E-3</v>
      </c>
      <c r="I82" s="65">
        <f t="shared" si="3"/>
        <v>-1.6879999999999999E-2</v>
      </c>
      <c r="J82" s="65"/>
      <c r="O82" s="70" t="s">
        <v>45</v>
      </c>
      <c r="P82" s="68"/>
      <c r="Q82" s="68"/>
      <c r="R82" s="68"/>
    </row>
    <row r="83" spans="1:19" s="66" customFormat="1" ht="14.4" x14ac:dyDescent="0.3">
      <c r="A83" s="61" t="s">
        <v>75</v>
      </c>
      <c r="B83" s="61" t="s">
        <v>89</v>
      </c>
      <c r="C83" s="62">
        <v>42312484</v>
      </c>
      <c r="D83" s="61" t="s">
        <v>77</v>
      </c>
      <c r="E83" s="55" t="s">
        <v>55</v>
      </c>
      <c r="F83" s="62">
        <v>201601</v>
      </c>
      <c r="G83" s="63">
        <v>-2818.62</v>
      </c>
      <c r="H83" s="64">
        <f t="shared" si="2"/>
        <v>8.4399999999999996E-3</v>
      </c>
      <c r="I83" s="65">
        <f t="shared" si="3"/>
        <v>-23.789152799999997</v>
      </c>
      <c r="J83" s="62">
        <f>F83</f>
        <v>201601</v>
      </c>
      <c r="K83" s="69">
        <f>SUM(I$2:I83)</f>
        <v>-15591.225250800002</v>
      </c>
      <c r="L83" s="45">
        <f>0.0305*(SUM(G$2:G83))/12</f>
        <v>-4695.2248237500016</v>
      </c>
      <c r="M83" s="67">
        <f>(0.02164*0.6*0.05)*SUM(G$2:G83)/12</f>
        <v>-99.939014937000024</v>
      </c>
      <c r="N83" s="45">
        <f>K83+L83+M83</f>
        <v>-20386.389089487006</v>
      </c>
      <c r="O83" s="70" t="s">
        <v>45</v>
      </c>
      <c r="P83" s="68">
        <v>0.97199999999999998</v>
      </c>
      <c r="Q83" s="58">
        <f>N83*P83</f>
        <v>-19815.57019498137</v>
      </c>
      <c r="R83" s="68">
        <v>1.6E-2</v>
      </c>
      <c r="S83" s="58">
        <f>N83*R83</f>
        <v>-326.18222543179212</v>
      </c>
    </row>
    <row r="84" spans="1:19" s="66" customFormat="1" ht="14.4" x14ac:dyDescent="0.3">
      <c r="A84" s="61"/>
      <c r="B84" s="61"/>
      <c r="C84" s="61"/>
      <c r="D84" s="61"/>
      <c r="E84" s="55" t="s">
        <v>55</v>
      </c>
      <c r="F84" s="62">
        <v>201602</v>
      </c>
      <c r="G84" s="63"/>
      <c r="H84" s="64"/>
      <c r="I84" s="65"/>
      <c r="J84" s="62">
        <f>F84</f>
        <v>201602</v>
      </c>
      <c r="K84" s="69">
        <f>SUM(I$2:I84)</f>
        <v>-15591.225250800002</v>
      </c>
      <c r="L84" s="45">
        <f>0.0305*(SUM(G$2:G84))/12</f>
        <v>-4695.2248237500016</v>
      </c>
      <c r="M84" s="67">
        <f>(0.02164*0.6*0.05)*SUM(G$2:G84)/12</f>
        <v>-99.939014937000024</v>
      </c>
      <c r="N84" s="45">
        <f>K84+L84+M84</f>
        <v>-20386.389089487006</v>
      </c>
      <c r="O84" s="70" t="s">
        <v>46</v>
      </c>
      <c r="P84" s="68">
        <v>0.96599999999999997</v>
      </c>
      <c r="Q84" s="58">
        <f>N84*P84</f>
        <v>-19693.251860444449</v>
      </c>
      <c r="R84" s="68">
        <v>2.1000000000000001E-2</v>
      </c>
      <c r="S84" s="58">
        <f>N84*R84</f>
        <v>-428.11417087922712</v>
      </c>
    </row>
    <row r="85" spans="1:19" s="66" customFormat="1" ht="13.8" x14ac:dyDescent="0.3">
      <c r="A85" s="61" t="s">
        <v>75</v>
      </c>
      <c r="B85" s="61" t="s">
        <v>81</v>
      </c>
      <c r="C85" s="62">
        <v>42499337</v>
      </c>
      <c r="D85" s="61" t="s">
        <v>77</v>
      </c>
      <c r="E85" s="55" t="s">
        <v>1883</v>
      </c>
      <c r="F85" s="62">
        <v>201603</v>
      </c>
      <c r="G85" s="63">
        <v>-7405.83</v>
      </c>
      <c r="H85" s="64">
        <f t="shared" si="2"/>
        <v>8.4399999999999996E-3</v>
      </c>
      <c r="I85" s="65">
        <f t="shared" si="3"/>
        <v>-62.505205199999999</v>
      </c>
      <c r="J85" s="65"/>
      <c r="O85" s="70" t="s">
        <v>47</v>
      </c>
      <c r="P85" s="68"/>
      <c r="Q85" s="68"/>
      <c r="R85" s="68"/>
    </row>
    <row r="86" spans="1:19" s="66" customFormat="1" ht="13.8" x14ac:dyDescent="0.3">
      <c r="A86" s="61" t="s">
        <v>75</v>
      </c>
      <c r="B86" s="61" t="s">
        <v>85</v>
      </c>
      <c r="C86" s="62">
        <v>42498483</v>
      </c>
      <c r="D86" s="61" t="s">
        <v>77</v>
      </c>
      <c r="E86" s="55" t="s">
        <v>55</v>
      </c>
      <c r="F86" s="62">
        <v>201603</v>
      </c>
      <c r="G86" s="63">
        <v>-10428.700000000001</v>
      </c>
      <c r="H86" s="64">
        <f t="shared" si="2"/>
        <v>8.4399999999999996E-3</v>
      </c>
      <c r="I86" s="65">
        <f t="shared" si="3"/>
        <v>-88.018228000000008</v>
      </c>
      <c r="J86" s="65"/>
      <c r="O86" s="70" t="s">
        <v>47</v>
      </c>
      <c r="P86" s="68"/>
      <c r="Q86" s="68"/>
      <c r="R86" s="68"/>
    </row>
    <row r="87" spans="1:19" s="66" customFormat="1" ht="14.4" x14ac:dyDescent="0.3">
      <c r="A87" s="61" t="s">
        <v>75</v>
      </c>
      <c r="B87" s="61" t="s">
        <v>96</v>
      </c>
      <c r="C87" s="62">
        <v>42425529</v>
      </c>
      <c r="D87" s="61" t="s">
        <v>77</v>
      </c>
      <c r="E87" s="55" t="s">
        <v>55</v>
      </c>
      <c r="F87" s="62">
        <v>201603</v>
      </c>
      <c r="G87" s="63">
        <v>-1182.5</v>
      </c>
      <c r="H87" s="64">
        <f t="shared" si="2"/>
        <v>8.4399999999999996E-3</v>
      </c>
      <c r="I87" s="65">
        <f t="shared" si="3"/>
        <v>-9.9802999999999997</v>
      </c>
      <c r="J87" s="62">
        <f>F87</f>
        <v>201603</v>
      </c>
      <c r="K87" s="69">
        <f>SUM(I$2:I87)</f>
        <v>-15751.728984000001</v>
      </c>
      <c r="L87" s="45">
        <f>0.0305*(SUM(G$2:G87))/12</f>
        <v>-4743.5597750000015</v>
      </c>
      <c r="M87" s="67">
        <f>(0.02164*0.6*0.05)*SUM(G$2:G87)/12</f>
        <v>-100.96783626000003</v>
      </c>
      <c r="N87" s="45">
        <f>K87+L87+M87</f>
        <v>-20596.256595260002</v>
      </c>
      <c r="O87" s="70" t="s">
        <v>47</v>
      </c>
      <c r="P87" s="68">
        <v>0.97</v>
      </c>
      <c r="Q87" s="58">
        <f>N87*P87</f>
        <v>-19978.368897402201</v>
      </c>
      <c r="R87" s="68">
        <v>1.9E-2</v>
      </c>
      <c r="S87" s="58">
        <f>N87*R87</f>
        <v>-391.32887530994003</v>
      </c>
    </row>
    <row r="88" spans="1:19" s="66" customFormat="1" ht="13.8" x14ac:dyDescent="0.3">
      <c r="A88" s="61" t="s">
        <v>75</v>
      </c>
      <c r="B88" s="61" t="s">
        <v>81</v>
      </c>
      <c r="C88" s="62">
        <v>42264531</v>
      </c>
      <c r="D88" s="61" t="s">
        <v>77</v>
      </c>
      <c r="E88" s="55" t="s">
        <v>55</v>
      </c>
      <c r="F88" s="62">
        <v>201604</v>
      </c>
      <c r="G88" s="63">
        <v>-92952.8</v>
      </c>
      <c r="H88" s="64">
        <f t="shared" si="2"/>
        <v>8.4399999999999996E-3</v>
      </c>
      <c r="I88" s="65">
        <f t="shared" si="3"/>
        <v>-784.52163199999995</v>
      </c>
      <c r="J88" s="65"/>
      <c r="L88" s="45" t="s">
        <v>13</v>
      </c>
      <c r="O88" s="60" t="s">
        <v>48</v>
      </c>
      <c r="P88" s="68"/>
      <c r="Q88" s="68"/>
      <c r="R88" s="68"/>
    </row>
    <row r="89" spans="1:19" ht="13.8" x14ac:dyDescent="0.3">
      <c r="A89" s="54" t="s">
        <v>75</v>
      </c>
      <c r="B89" s="54" t="s">
        <v>81</v>
      </c>
      <c r="C89" s="55">
        <v>42276639</v>
      </c>
      <c r="D89" s="54" t="s">
        <v>77</v>
      </c>
      <c r="E89" s="55" t="s">
        <v>55</v>
      </c>
      <c r="F89" s="55">
        <v>201604</v>
      </c>
      <c r="G89" s="56">
        <v>-96364.06</v>
      </c>
      <c r="H89" s="57">
        <f t="shared" si="2"/>
        <v>8.4399999999999996E-3</v>
      </c>
      <c r="I89" s="58">
        <f t="shared" si="3"/>
        <v>-813.3126663999999</v>
      </c>
      <c r="O89" s="60" t="s">
        <v>48</v>
      </c>
      <c r="P89" s="68"/>
      <c r="Q89" s="68"/>
      <c r="R89" s="68"/>
    </row>
    <row r="90" spans="1:19" ht="14.4" x14ac:dyDescent="0.3">
      <c r="A90" s="54" t="s">
        <v>75</v>
      </c>
      <c r="B90" s="54" t="s">
        <v>83</v>
      </c>
      <c r="C90" s="55">
        <v>42268306</v>
      </c>
      <c r="D90" s="54" t="s">
        <v>77</v>
      </c>
      <c r="E90" s="55" t="s">
        <v>1883</v>
      </c>
      <c r="F90" s="55">
        <v>201604</v>
      </c>
      <c r="G90" s="56">
        <v>-91007.65</v>
      </c>
      <c r="H90" s="57">
        <f t="shared" si="2"/>
        <v>8.4399999999999996E-3</v>
      </c>
      <c r="I90" s="58">
        <f t="shared" si="3"/>
        <v>-768.10456599999986</v>
      </c>
      <c r="J90" s="55">
        <f>F90</f>
        <v>201604</v>
      </c>
      <c r="K90" s="45">
        <f>SUM(I$2:I90)</f>
        <v>-18117.6678484</v>
      </c>
      <c r="L90" s="45">
        <f>0.0305*(SUM(G$2:G90))/12</f>
        <v>-5456.0512379166685</v>
      </c>
      <c r="M90" s="67">
        <f>(0.02164*0.6*0.05)*SUM(G$2:G90)/12</f>
        <v>-116.13339225100003</v>
      </c>
      <c r="N90" s="45">
        <f>K90+L90+M90</f>
        <v>-23689.852478567667</v>
      </c>
      <c r="O90" s="60" t="s">
        <v>48</v>
      </c>
      <c r="P90" s="68">
        <v>0.97499999999999998</v>
      </c>
      <c r="Q90" s="58">
        <f>N90*P90</f>
        <v>-23097.606166603477</v>
      </c>
      <c r="R90" s="68">
        <v>3.3000000000000002E-2</v>
      </c>
      <c r="S90" s="58">
        <f>N90*R90</f>
        <v>-781.76513179273309</v>
      </c>
    </row>
    <row r="91" spans="1:19" ht="13.8" x14ac:dyDescent="0.3">
      <c r="A91" s="54" t="s">
        <v>75</v>
      </c>
      <c r="B91" s="54" t="s">
        <v>81</v>
      </c>
      <c r="C91" s="55">
        <v>42515320</v>
      </c>
      <c r="D91" s="54" t="s">
        <v>77</v>
      </c>
      <c r="E91" s="55" t="s">
        <v>55</v>
      </c>
      <c r="F91" s="55">
        <v>201605</v>
      </c>
      <c r="G91" s="56">
        <v>-2278.96</v>
      </c>
      <c r="H91" s="57">
        <f t="shared" si="2"/>
        <v>8.4399999999999996E-3</v>
      </c>
      <c r="I91" s="58">
        <f t="shared" si="3"/>
        <v>-19.2344224</v>
      </c>
      <c r="O91" s="60" t="s">
        <v>49</v>
      </c>
      <c r="P91" s="68"/>
      <c r="Q91" s="68"/>
      <c r="R91" s="68"/>
    </row>
    <row r="92" spans="1:19" ht="13.8" x14ac:dyDescent="0.3">
      <c r="A92" s="54" t="s">
        <v>75</v>
      </c>
      <c r="B92" s="54" t="s">
        <v>89</v>
      </c>
      <c r="C92" s="55">
        <v>42181540</v>
      </c>
      <c r="D92" s="54" t="s">
        <v>77</v>
      </c>
      <c r="E92" s="55" t="s">
        <v>1883</v>
      </c>
      <c r="F92" s="55">
        <v>201605</v>
      </c>
      <c r="G92" s="56">
        <v>-1114935.93</v>
      </c>
      <c r="H92" s="57">
        <f t="shared" si="2"/>
        <v>8.4399999999999996E-3</v>
      </c>
      <c r="I92" s="58">
        <f t="shared" si="3"/>
        <v>-9410.0592491999996</v>
      </c>
      <c r="O92" s="60" t="s">
        <v>49</v>
      </c>
      <c r="P92" s="68"/>
      <c r="Q92" s="68"/>
      <c r="R92" s="68"/>
    </row>
    <row r="93" spans="1:19" ht="13.8" x14ac:dyDescent="0.3">
      <c r="A93" s="54" t="s">
        <v>75</v>
      </c>
      <c r="B93" s="54" t="s">
        <v>96</v>
      </c>
      <c r="C93" s="55">
        <v>42499331</v>
      </c>
      <c r="D93" s="54" t="s">
        <v>77</v>
      </c>
      <c r="E93" s="55" t="s">
        <v>55</v>
      </c>
      <c r="F93" s="55">
        <v>201605</v>
      </c>
      <c r="G93" s="56">
        <v>-2</v>
      </c>
      <c r="H93" s="57">
        <f t="shared" si="2"/>
        <v>8.4399999999999996E-3</v>
      </c>
      <c r="I93" s="58">
        <f t="shared" si="3"/>
        <v>-1.6879999999999999E-2</v>
      </c>
      <c r="O93" s="60" t="s">
        <v>49</v>
      </c>
      <c r="P93" s="68"/>
      <c r="Q93" s="68"/>
      <c r="R93" s="68"/>
    </row>
    <row r="94" spans="1:19" ht="14.4" x14ac:dyDescent="0.3">
      <c r="A94" s="54" t="s">
        <v>75</v>
      </c>
      <c r="B94" s="54" t="s">
        <v>96</v>
      </c>
      <c r="C94" s="55">
        <v>42499331</v>
      </c>
      <c r="D94" s="54" t="s">
        <v>77</v>
      </c>
      <c r="E94" s="55" t="s">
        <v>55</v>
      </c>
      <c r="F94" s="55">
        <v>201605</v>
      </c>
      <c r="G94" s="56">
        <v>-25326.5</v>
      </c>
      <c r="H94" s="57">
        <f t="shared" si="2"/>
        <v>8.4399999999999996E-3</v>
      </c>
      <c r="I94" s="58">
        <f t="shared" si="3"/>
        <v>-213.75565999999998</v>
      </c>
      <c r="J94" s="55">
        <f>F94</f>
        <v>201605</v>
      </c>
      <c r="K94" s="45">
        <f>SUM(I$2:I94)</f>
        <v>-27760.734059999999</v>
      </c>
      <c r="L94" s="45">
        <f>0.0305*(SUM(G$2:G94))/12</f>
        <v>-8360.0156875000011</v>
      </c>
      <c r="M94" s="67">
        <f>(0.02164*0.6*0.05)*SUM(G$2:G94)/12</f>
        <v>-177.94498965000002</v>
      </c>
      <c r="N94" s="45">
        <f>K94+L94+M94</f>
        <v>-36298.694737149999</v>
      </c>
      <c r="O94" s="60" t="s">
        <v>49</v>
      </c>
      <c r="P94" s="68">
        <v>0.88900000000000001</v>
      </c>
      <c r="Q94" s="58">
        <f>N94*P94</f>
        <v>-32269.539621326348</v>
      </c>
      <c r="R94" s="68">
        <v>0.10299999999999999</v>
      </c>
      <c r="S94" s="58">
        <f>N94*R94</f>
        <v>-3738.7655579264497</v>
      </c>
    </row>
    <row r="95" spans="1:19" ht="13.8" x14ac:dyDescent="0.3">
      <c r="A95" s="54" t="s">
        <v>75</v>
      </c>
      <c r="B95" s="54" t="s">
        <v>79</v>
      </c>
      <c r="C95" s="55">
        <v>42541275</v>
      </c>
      <c r="D95" s="54" t="s">
        <v>77</v>
      </c>
      <c r="E95" s="55" t="s">
        <v>1883</v>
      </c>
      <c r="F95" s="55">
        <v>201606</v>
      </c>
      <c r="G95" s="56">
        <v>-1114.95</v>
      </c>
      <c r="H95" s="57">
        <f t="shared" si="2"/>
        <v>8.4399999999999996E-3</v>
      </c>
      <c r="I95" s="58">
        <f t="shared" si="3"/>
        <v>-9.4101780000000002</v>
      </c>
      <c r="O95" s="60" t="s">
        <v>50</v>
      </c>
      <c r="P95" s="68"/>
      <c r="Q95" s="68"/>
      <c r="R95" s="68"/>
      <c r="S95" s="58" t="s">
        <v>13</v>
      </c>
    </row>
    <row r="96" spans="1:19" ht="13.8" x14ac:dyDescent="0.3">
      <c r="A96" s="54" t="s">
        <v>75</v>
      </c>
      <c r="B96" s="54" t="s">
        <v>80</v>
      </c>
      <c r="C96" s="55">
        <v>42487873</v>
      </c>
      <c r="D96" s="54" t="s">
        <v>77</v>
      </c>
      <c r="E96" s="55" t="s">
        <v>1883</v>
      </c>
      <c r="F96" s="55">
        <v>201606</v>
      </c>
      <c r="G96" s="56">
        <v>-1297.8399999999999</v>
      </c>
      <c r="H96" s="57">
        <f t="shared" si="2"/>
        <v>8.4399999999999996E-3</v>
      </c>
      <c r="I96" s="58">
        <f t="shared" si="3"/>
        <v>-10.953769599999999</v>
      </c>
      <c r="O96" s="60" t="s">
        <v>50</v>
      </c>
      <c r="P96" s="68"/>
      <c r="Q96" s="68"/>
      <c r="R96" s="68"/>
    </row>
    <row r="97" spans="1:19" ht="13.8" x14ac:dyDescent="0.3">
      <c r="A97" s="54" t="s">
        <v>75</v>
      </c>
      <c r="B97" s="54" t="s">
        <v>81</v>
      </c>
      <c r="C97" s="55">
        <v>42343102</v>
      </c>
      <c r="D97" s="54" t="s">
        <v>77</v>
      </c>
      <c r="E97" s="55" t="s">
        <v>55</v>
      </c>
      <c r="F97" s="55">
        <v>201606</v>
      </c>
      <c r="G97" s="56">
        <v>-1169.44</v>
      </c>
      <c r="H97" s="57">
        <f t="shared" si="2"/>
        <v>8.4399999999999996E-3</v>
      </c>
      <c r="I97" s="58">
        <f t="shared" si="3"/>
        <v>-9.8700735999999996</v>
      </c>
      <c r="O97" s="60" t="s">
        <v>50</v>
      </c>
      <c r="P97" s="68"/>
      <c r="Q97" s="68"/>
      <c r="R97" s="68"/>
    </row>
    <row r="98" spans="1:19" ht="13.8" x14ac:dyDescent="0.3">
      <c r="A98" s="54" t="s">
        <v>75</v>
      </c>
      <c r="B98" s="54" t="s">
        <v>81</v>
      </c>
      <c r="C98" s="55">
        <v>42368064</v>
      </c>
      <c r="D98" s="54" t="s">
        <v>77</v>
      </c>
      <c r="E98" s="55" t="s">
        <v>55</v>
      </c>
      <c r="F98" s="55">
        <v>201606</v>
      </c>
      <c r="G98" s="56">
        <v>-5</v>
      </c>
      <c r="H98" s="57">
        <f t="shared" si="2"/>
        <v>8.4399999999999996E-3</v>
      </c>
      <c r="I98" s="58">
        <f t="shared" si="3"/>
        <v>-4.2200000000000001E-2</v>
      </c>
      <c r="O98" s="60" t="s">
        <v>50</v>
      </c>
      <c r="P98" s="68"/>
      <c r="Q98" s="68"/>
      <c r="R98" s="68"/>
    </row>
    <row r="99" spans="1:19" ht="13.8" x14ac:dyDescent="0.3">
      <c r="A99" s="54" t="s">
        <v>75</v>
      </c>
      <c r="B99" s="54" t="s">
        <v>81</v>
      </c>
      <c r="C99" s="55">
        <v>42534827</v>
      </c>
      <c r="D99" s="54" t="s">
        <v>77</v>
      </c>
      <c r="E99" s="55" t="s">
        <v>55</v>
      </c>
      <c r="F99" s="55">
        <v>201606</v>
      </c>
      <c r="G99" s="56">
        <v>-3781.02</v>
      </c>
      <c r="H99" s="57">
        <f t="shared" si="2"/>
        <v>8.4399999999999996E-3</v>
      </c>
      <c r="I99" s="58">
        <f t="shared" si="3"/>
        <v>-31.911808799999999</v>
      </c>
      <c r="O99" s="60" t="s">
        <v>50</v>
      </c>
      <c r="P99" s="68"/>
      <c r="Q99" s="68"/>
      <c r="R99" s="68"/>
    </row>
    <row r="100" spans="1:19" ht="13.8" x14ac:dyDescent="0.3">
      <c r="A100" s="54" t="s">
        <v>75</v>
      </c>
      <c r="B100" s="54" t="s">
        <v>81</v>
      </c>
      <c r="C100" s="55">
        <v>42535820</v>
      </c>
      <c r="D100" s="54" t="s">
        <v>77</v>
      </c>
      <c r="E100" s="55" t="s">
        <v>1883</v>
      </c>
      <c r="F100" s="55">
        <v>201606</v>
      </c>
      <c r="G100" s="56">
        <v>-451.27</v>
      </c>
      <c r="H100" s="57">
        <f t="shared" si="2"/>
        <v>8.4399999999999996E-3</v>
      </c>
      <c r="I100" s="58">
        <f t="shared" si="3"/>
        <v>-3.8087187999999998</v>
      </c>
      <c r="O100" s="60" t="s">
        <v>50</v>
      </c>
      <c r="P100" s="68"/>
      <c r="Q100" s="68"/>
      <c r="R100" s="68"/>
    </row>
    <row r="101" spans="1:19" ht="13.8" x14ac:dyDescent="0.3">
      <c r="A101" s="54" t="s">
        <v>75</v>
      </c>
      <c r="B101" s="54" t="s">
        <v>82</v>
      </c>
      <c r="C101" s="55">
        <v>42537553</v>
      </c>
      <c r="D101" s="54" t="s">
        <v>77</v>
      </c>
      <c r="E101" s="55" t="s">
        <v>1883</v>
      </c>
      <c r="F101" s="55">
        <v>201606</v>
      </c>
      <c r="G101" s="56">
        <v>-1247.74</v>
      </c>
      <c r="H101" s="57">
        <f t="shared" si="2"/>
        <v>8.4399999999999996E-3</v>
      </c>
      <c r="I101" s="58">
        <f t="shared" si="3"/>
        <v>-10.5309256</v>
      </c>
      <c r="O101" s="60" t="s">
        <v>50</v>
      </c>
      <c r="P101" s="68"/>
      <c r="Q101" s="68"/>
      <c r="R101" s="68"/>
    </row>
    <row r="102" spans="1:19" ht="13.8" x14ac:dyDescent="0.3">
      <c r="A102" s="54" t="s">
        <v>75</v>
      </c>
      <c r="B102" s="54" t="s">
        <v>83</v>
      </c>
      <c r="C102" s="55">
        <v>42511093</v>
      </c>
      <c r="D102" s="54" t="s">
        <v>77</v>
      </c>
      <c r="E102" s="55" t="s">
        <v>1883</v>
      </c>
      <c r="F102" s="55">
        <v>201606</v>
      </c>
      <c r="G102" s="56">
        <v>-1</v>
      </c>
      <c r="H102" s="57">
        <f t="shared" si="2"/>
        <v>8.4399999999999996E-3</v>
      </c>
      <c r="I102" s="58">
        <f t="shared" si="3"/>
        <v>-8.4399999999999996E-3</v>
      </c>
      <c r="O102" s="60" t="s">
        <v>50</v>
      </c>
      <c r="P102" s="68"/>
      <c r="Q102" s="68"/>
      <c r="R102" s="68"/>
    </row>
    <row r="103" spans="1:19" ht="14.4" x14ac:dyDescent="0.3">
      <c r="A103" s="54" t="s">
        <v>75</v>
      </c>
      <c r="B103" s="54" t="s">
        <v>84</v>
      </c>
      <c r="C103" s="55">
        <v>42536818</v>
      </c>
      <c r="D103" s="54" t="s">
        <v>77</v>
      </c>
      <c r="E103" s="55" t="s">
        <v>1883</v>
      </c>
      <c r="F103" s="55">
        <v>201606</v>
      </c>
      <c r="G103" s="56">
        <v>-1961.41</v>
      </c>
      <c r="H103" s="57">
        <f t="shared" si="2"/>
        <v>8.4399999999999996E-3</v>
      </c>
      <c r="I103" s="58">
        <f t="shared" si="3"/>
        <v>-16.554300399999999</v>
      </c>
      <c r="J103" s="55">
        <f>F103</f>
        <v>201606</v>
      </c>
      <c r="K103" s="45">
        <f>SUM(I$2:I103)</f>
        <v>-27853.824474799996</v>
      </c>
      <c r="L103" s="45">
        <f>0.0305*(SUM(G$2:G103))/12</f>
        <v>-8388.0494320833368</v>
      </c>
      <c r="M103" s="67">
        <f>(0.02164*0.6*0.05)*SUM(G$2:G103)/12</f>
        <v>-178.54169479700008</v>
      </c>
      <c r="N103" s="45">
        <f>K103+L103+M103</f>
        <v>-36420.415601680332</v>
      </c>
      <c r="O103" s="60" t="s">
        <v>50</v>
      </c>
      <c r="P103" s="68">
        <v>0.84799999999999998</v>
      </c>
      <c r="Q103" s="58">
        <f>N103*P103</f>
        <v>-30884.512430224921</v>
      </c>
      <c r="R103" s="68">
        <v>0.14399999999999999</v>
      </c>
      <c r="S103" s="58">
        <f>N103*R103</f>
        <v>-5244.5398466419674</v>
      </c>
    </row>
    <row r="104" spans="1:19" ht="14.4" x14ac:dyDescent="0.3">
      <c r="A104" s="54" t="s">
        <v>75</v>
      </c>
      <c r="B104" s="54" t="s">
        <v>85</v>
      </c>
      <c r="C104" s="55">
        <v>42555114</v>
      </c>
      <c r="D104" s="54" t="s">
        <v>77</v>
      </c>
      <c r="E104" s="55" t="s">
        <v>1883</v>
      </c>
      <c r="F104" s="55">
        <v>201607</v>
      </c>
      <c r="G104" s="56">
        <v>-3476.41</v>
      </c>
      <c r="H104" s="57">
        <f t="shared" si="2"/>
        <v>8.4399999999999996E-3</v>
      </c>
      <c r="I104" s="58">
        <f t="shared" si="3"/>
        <v>-29.340900399999999</v>
      </c>
      <c r="J104" s="55">
        <v>201607</v>
      </c>
      <c r="K104" s="45">
        <f>SUM(I$2:I104)</f>
        <v>-27883.165375199995</v>
      </c>
      <c r="L104" s="45">
        <f>0.0352*(SUM(G$2:G104))/12</f>
        <v>-9690.8315680000051</v>
      </c>
      <c r="M104" s="67">
        <f>(0.02164*0.6*0.05)*SUM(G$2:G104)/12</f>
        <v>-178.72976857800006</v>
      </c>
      <c r="N104" s="45">
        <f>K104+L104+M104</f>
        <v>-37752.726711777999</v>
      </c>
      <c r="O104" s="60" t="s">
        <v>51</v>
      </c>
      <c r="P104" s="68">
        <v>0.86399999999999999</v>
      </c>
      <c r="Q104" s="58">
        <f>N104*P104</f>
        <v>-32618.355878976192</v>
      </c>
      <c r="R104" s="68">
        <v>0.126</v>
      </c>
      <c r="S104" s="58">
        <f>N104*R104</f>
        <v>-4756.8435656840284</v>
      </c>
    </row>
    <row r="105" spans="1:19" ht="13.8" x14ac:dyDescent="0.3">
      <c r="A105" s="71" t="s">
        <v>97</v>
      </c>
      <c r="B105" s="71" t="s">
        <v>81</v>
      </c>
      <c r="C105" s="72">
        <v>40916358</v>
      </c>
      <c r="D105" s="71" t="s">
        <v>77</v>
      </c>
      <c r="E105" s="55" t="s">
        <v>1883</v>
      </c>
      <c r="F105" s="72">
        <v>201508</v>
      </c>
      <c r="G105" s="56">
        <v>-77383.72</v>
      </c>
      <c r="H105" s="57">
        <f t="shared" si="2"/>
        <v>8.4399999999999996E-3</v>
      </c>
      <c r="I105" s="58">
        <f t="shared" si="3"/>
        <v>-653.11859679999998</v>
      </c>
      <c r="K105" s="45"/>
      <c r="L105" s="45"/>
      <c r="M105" s="45"/>
      <c r="N105" s="45"/>
      <c r="O105" s="60" t="s">
        <v>52</v>
      </c>
      <c r="P105" s="68"/>
      <c r="Q105" s="68"/>
      <c r="R105" s="68"/>
    </row>
    <row r="106" spans="1:19" ht="13.8" x14ac:dyDescent="0.3">
      <c r="A106" s="71" t="s">
        <v>97</v>
      </c>
      <c r="B106" s="71" t="s">
        <v>81</v>
      </c>
      <c r="C106" s="71" t="s">
        <v>98</v>
      </c>
      <c r="D106" s="71" t="s">
        <v>77</v>
      </c>
      <c r="E106" s="55" t="s">
        <v>1883</v>
      </c>
      <c r="F106" s="72">
        <v>201508</v>
      </c>
      <c r="G106" s="56">
        <v>-190284.345</v>
      </c>
      <c r="H106" s="57">
        <f t="shared" si="2"/>
        <v>8.4399999999999996E-3</v>
      </c>
      <c r="I106" s="58">
        <f t="shared" si="3"/>
        <v>-1605.9998717999999</v>
      </c>
      <c r="K106" s="45"/>
      <c r="L106" s="45"/>
      <c r="M106" s="45"/>
      <c r="N106" s="45"/>
      <c r="O106" s="60" t="s">
        <v>52</v>
      </c>
      <c r="P106" s="68"/>
      <c r="Q106" s="68"/>
      <c r="R106" s="68"/>
    </row>
    <row r="107" spans="1:19" ht="13.8" x14ac:dyDescent="0.3">
      <c r="A107" s="71" t="s">
        <v>97</v>
      </c>
      <c r="B107" s="71" t="s">
        <v>81</v>
      </c>
      <c r="C107" s="71" t="s">
        <v>99</v>
      </c>
      <c r="D107" s="71" t="s">
        <v>77</v>
      </c>
      <c r="E107" s="55" t="s">
        <v>1883</v>
      </c>
      <c r="F107" s="72">
        <v>201508</v>
      </c>
      <c r="G107" s="56">
        <v>-86050.28</v>
      </c>
      <c r="H107" s="57">
        <f t="shared" si="2"/>
        <v>8.4399999999999996E-3</v>
      </c>
      <c r="I107" s="58">
        <f t="shared" si="3"/>
        <v>-726.26436319999993</v>
      </c>
      <c r="K107" s="45"/>
      <c r="L107" s="45"/>
      <c r="M107" s="45"/>
      <c r="N107" s="45"/>
      <c r="O107" s="60" t="s">
        <v>52</v>
      </c>
      <c r="P107" s="68"/>
      <c r="Q107" s="68"/>
      <c r="R107" s="68"/>
    </row>
    <row r="108" spans="1:19" ht="13.8" x14ac:dyDescent="0.3">
      <c r="A108" s="71" t="s">
        <v>97</v>
      </c>
      <c r="B108" s="71" t="s">
        <v>81</v>
      </c>
      <c r="C108" s="71" t="s">
        <v>100</v>
      </c>
      <c r="D108" s="71" t="s">
        <v>77</v>
      </c>
      <c r="E108" s="55" t="s">
        <v>1883</v>
      </c>
      <c r="F108" s="72">
        <v>201508</v>
      </c>
      <c r="G108" s="56">
        <v>-5368125.6849999996</v>
      </c>
      <c r="H108" s="57">
        <f t="shared" si="2"/>
        <v>8.4399999999999996E-3</v>
      </c>
      <c r="I108" s="58">
        <f t="shared" si="3"/>
        <v>-45306.980781399994</v>
      </c>
      <c r="K108" s="45"/>
      <c r="L108" s="45"/>
      <c r="M108" s="45"/>
      <c r="N108" s="45"/>
      <c r="O108" s="60" t="s">
        <v>52</v>
      </c>
      <c r="P108" s="68"/>
      <c r="Q108" s="68"/>
      <c r="R108" s="68"/>
    </row>
    <row r="109" spans="1:19" ht="14.4" x14ac:dyDescent="0.3">
      <c r="A109" s="71" t="s">
        <v>97</v>
      </c>
      <c r="B109" s="71" t="s">
        <v>81</v>
      </c>
      <c r="C109" s="71" t="s">
        <v>101</v>
      </c>
      <c r="D109" s="71" t="s">
        <v>77</v>
      </c>
      <c r="E109" s="55" t="s">
        <v>1883</v>
      </c>
      <c r="F109" s="72">
        <v>201508</v>
      </c>
      <c r="G109" s="56">
        <v>-874759.88</v>
      </c>
      <c r="H109" s="57">
        <f t="shared" si="2"/>
        <v>8.4399999999999996E-3</v>
      </c>
      <c r="I109" s="58">
        <f t="shared" si="3"/>
        <v>-7382.9733871999997</v>
      </c>
      <c r="J109" s="72">
        <v>201508</v>
      </c>
      <c r="K109" s="45">
        <f>SUM(I$2:I109)</f>
        <v>-83558.502375599986</v>
      </c>
      <c r="L109" s="45">
        <f>0.0305*(SUM(G$2:G109))/12</f>
        <v>-25163.253578750006</v>
      </c>
      <c r="M109" s="67">
        <f>(0.02164*0.6*0.05)*SUM(G$2:G109)/12</f>
        <v>-535.60604010900011</v>
      </c>
      <c r="N109" s="45">
        <f>K109+L109+M109</f>
        <v>-109257.361994459</v>
      </c>
      <c r="O109" s="60" t="s">
        <v>52</v>
      </c>
      <c r="P109" s="68">
        <v>0.95499999999999996</v>
      </c>
      <c r="Q109" s="58">
        <f>N109*P109</f>
        <v>-104340.78070470835</v>
      </c>
      <c r="R109" s="68">
        <v>3.5999999999999997E-2</v>
      </c>
      <c r="S109" s="58">
        <f>N109*R109</f>
        <v>-3933.265031800524</v>
      </c>
    </row>
    <row r="110" spans="1:19" ht="13.8" x14ac:dyDescent="0.3">
      <c r="A110" s="54"/>
      <c r="B110" s="54"/>
      <c r="C110" s="54"/>
      <c r="D110" s="54"/>
      <c r="E110" s="54"/>
      <c r="F110" s="55"/>
      <c r="G110" s="56"/>
      <c r="H110" s="57"/>
      <c r="K110" s="45"/>
      <c r="L110" s="45"/>
      <c r="M110" s="45"/>
      <c r="N110" s="45"/>
      <c r="O110" s="45"/>
      <c r="P110" s="68"/>
      <c r="Q110" s="68"/>
      <c r="R110" s="68"/>
    </row>
    <row r="111" spans="1:19" ht="13.8" x14ac:dyDescent="0.3">
      <c r="A111" s="54"/>
      <c r="B111" s="54"/>
      <c r="C111" s="54"/>
      <c r="D111" s="54"/>
      <c r="E111" s="54"/>
      <c r="F111" s="55"/>
      <c r="G111" s="56"/>
      <c r="H111" s="57"/>
      <c r="K111" s="45"/>
      <c r="L111" s="45"/>
      <c r="M111" s="45"/>
      <c r="N111" s="45"/>
      <c r="O111" s="45"/>
      <c r="P111" s="68"/>
      <c r="R111" s="68"/>
    </row>
    <row r="112" spans="1:19" s="79" customFormat="1" ht="13.8" x14ac:dyDescent="0.3">
      <c r="A112" s="73"/>
      <c r="B112" s="73"/>
      <c r="C112" s="73"/>
      <c r="D112" s="73"/>
      <c r="E112" s="73"/>
      <c r="F112" s="74" t="s">
        <v>54</v>
      </c>
      <c r="G112" s="75">
        <f>SUBTOTAL(9,G2:G104)</f>
        <v>-3303692.5800000015</v>
      </c>
      <c r="H112" s="76"/>
      <c r="I112" s="77" t="s">
        <v>13</v>
      </c>
      <c r="J112" s="77"/>
      <c r="K112" s="77">
        <f>SUM(K2:K109)</f>
        <v>-345106.58604920004</v>
      </c>
      <c r="L112" s="77">
        <f>SUM(L2:L109)</f>
        <v>-107149.1988379167</v>
      </c>
      <c r="M112" s="77">
        <f>SUM(M2:M109)</f>
        <v>-2212.1168608130001</v>
      </c>
      <c r="N112" s="77">
        <f>SUM(N2:N109)</f>
        <v>-454467.90174792969</v>
      </c>
      <c r="O112" s="77"/>
      <c r="P112" s="78"/>
      <c r="Q112" s="77">
        <f>SUM(Q1:Q109)</f>
        <v>-420464.56310166605</v>
      </c>
      <c r="R112" s="78"/>
      <c r="S112" s="77">
        <f>SUM(S1:S109)</f>
        <v>-28316.119016738936</v>
      </c>
    </row>
    <row r="113" spans="7:18" x14ac:dyDescent="0.25">
      <c r="P113" s="68"/>
      <c r="Q113" s="68"/>
      <c r="R113" s="68"/>
    </row>
    <row r="114" spans="7:18" ht="13.8" x14ac:dyDescent="0.3">
      <c r="G114" s="75" t="s">
        <v>13</v>
      </c>
      <c r="P114" s="68"/>
      <c r="Q114" s="68"/>
      <c r="R114" s="68"/>
    </row>
    <row r="115" spans="7:18" x14ac:dyDescent="0.25">
      <c r="G115" s="59"/>
      <c r="P115" s="68"/>
      <c r="Q115" s="68"/>
      <c r="R115" s="68"/>
    </row>
    <row r="116" spans="7:18" x14ac:dyDescent="0.25">
      <c r="P116" s="68"/>
      <c r="Q116" s="68"/>
      <c r="R116" s="68"/>
    </row>
    <row r="117" spans="7:18" x14ac:dyDescent="0.25">
      <c r="P117" s="68"/>
      <c r="Q117" s="68"/>
      <c r="R117" s="68"/>
    </row>
    <row r="118" spans="7:18" x14ac:dyDescent="0.25">
      <c r="P118" s="68"/>
      <c r="Q118" s="68"/>
      <c r="R118" s="68"/>
    </row>
    <row r="119" spans="7:18" x14ac:dyDescent="0.25">
      <c r="P119" s="68"/>
      <c r="Q119" s="68"/>
      <c r="R119" s="68"/>
    </row>
    <row r="120" spans="7:18" x14ac:dyDescent="0.25">
      <c r="P120" s="68"/>
      <c r="Q120" s="68"/>
      <c r="R120" s="68"/>
    </row>
    <row r="121" spans="7:18" x14ac:dyDescent="0.25">
      <c r="P121" s="68"/>
      <c r="Q121" s="68"/>
      <c r="R121" s="68"/>
    </row>
    <row r="122" spans="7:18" x14ac:dyDescent="0.25">
      <c r="P122" s="68"/>
      <c r="Q122" s="68"/>
      <c r="R122" s="68"/>
    </row>
    <row r="123" spans="7:18" x14ac:dyDescent="0.25">
      <c r="P123" s="68"/>
      <c r="Q123" s="68"/>
      <c r="R123" s="68"/>
    </row>
    <row r="124" spans="7:18" x14ac:dyDescent="0.25">
      <c r="P124" s="68"/>
      <c r="Q124" s="68"/>
      <c r="R124" s="68"/>
    </row>
    <row r="125" spans="7:18" x14ac:dyDescent="0.25">
      <c r="P125" s="68"/>
      <c r="Q125" s="68"/>
      <c r="R125" s="68"/>
    </row>
    <row r="126" spans="7:18" x14ac:dyDescent="0.25">
      <c r="P126" s="68"/>
      <c r="Q126" s="68"/>
      <c r="R126" s="68"/>
    </row>
    <row r="127" spans="7:18" x14ac:dyDescent="0.25">
      <c r="P127" s="68"/>
      <c r="Q127" s="68"/>
      <c r="R127" s="68"/>
    </row>
    <row r="128" spans="7:18" x14ac:dyDescent="0.25">
      <c r="P128" s="68"/>
      <c r="Q128" s="68"/>
      <c r="R128" s="68"/>
    </row>
    <row r="129" spans="16:18" x14ac:dyDescent="0.25">
      <c r="P129" s="68"/>
      <c r="Q129" s="68"/>
      <c r="R129" s="68"/>
    </row>
    <row r="130" spans="16:18" x14ac:dyDescent="0.25">
      <c r="P130" s="68"/>
      <c r="Q130" s="68"/>
      <c r="R130" s="68"/>
    </row>
    <row r="131" spans="16:18" x14ac:dyDescent="0.25">
      <c r="P131" s="68"/>
      <c r="Q131" s="68"/>
      <c r="R131" s="68"/>
    </row>
    <row r="132" spans="16:18" x14ac:dyDescent="0.25">
      <c r="P132" s="68"/>
      <c r="Q132" s="68"/>
      <c r="R132" s="68"/>
    </row>
    <row r="133" spans="16:18" x14ac:dyDescent="0.25">
      <c r="P133" s="68"/>
      <c r="Q133" s="68"/>
      <c r="R133" s="68"/>
    </row>
    <row r="134" spans="16:18" x14ac:dyDescent="0.25">
      <c r="P134" s="68"/>
      <c r="Q134" s="68"/>
      <c r="R134" s="68"/>
    </row>
    <row r="135" spans="16:18" x14ac:dyDescent="0.25">
      <c r="P135" s="68"/>
      <c r="Q135" s="68"/>
      <c r="R135" s="68"/>
    </row>
    <row r="136" spans="16:18" x14ac:dyDescent="0.25">
      <c r="P136" s="68"/>
      <c r="Q136" s="68"/>
      <c r="R136" s="68"/>
    </row>
    <row r="137" spans="16:18" x14ac:dyDescent="0.25">
      <c r="P137" s="68"/>
      <c r="Q137" s="68"/>
      <c r="R137" s="68"/>
    </row>
    <row r="138" spans="16:18" x14ac:dyDescent="0.25">
      <c r="P138" s="68"/>
      <c r="Q138" s="68"/>
      <c r="R138" s="68"/>
    </row>
    <row r="139" spans="16:18" x14ac:dyDescent="0.25">
      <c r="P139" s="68"/>
      <c r="Q139" s="68"/>
      <c r="R139" s="68"/>
    </row>
    <row r="140" spans="16:18" x14ac:dyDescent="0.25">
      <c r="P140" s="68"/>
      <c r="Q140" s="68"/>
      <c r="R140" s="68"/>
    </row>
    <row r="141" spans="16:18" x14ac:dyDescent="0.25">
      <c r="P141" s="68"/>
      <c r="Q141" s="68"/>
      <c r="R141" s="68"/>
    </row>
    <row r="142" spans="16:18" x14ac:dyDescent="0.25">
      <c r="P142" s="68"/>
      <c r="Q142" s="68"/>
      <c r="R142" s="68"/>
    </row>
    <row r="143" spans="16:18" x14ac:dyDescent="0.25">
      <c r="P143" s="68"/>
      <c r="Q143" s="68"/>
      <c r="R143" s="68"/>
    </row>
    <row r="144" spans="16:18" x14ac:dyDescent="0.25">
      <c r="P144" s="68"/>
      <c r="Q144" s="68"/>
      <c r="R144" s="68"/>
    </row>
    <row r="145" spans="16:18" x14ac:dyDescent="0.25">
      <c r="P145" s="68"/>
      <c r="Q145" s="68"/>
      <c r="R145" s="68"/>
    </row>
    <row r="146" spans="16:18" x14ac:dyDescent="0.25">
      <c r="P146" s="68"/>
      <c r="Q146" s="68"/>
      <c r="R146" s="68"/>
    </row>
    <row r="147" spans="16:18" x14ac:dyDescent="0.25">
      <c r="P147" s="68"/>
      <c r="Q147" s="68"/>
      <c r="R147" s="68"/>
    </row>
    <row r="148" spans="16:18" x14ac:dyDescent="0.25">
      <c r="P148" s="68"/>
      <c r="Q148" s="68"/>
      <c r="R148" s="68"/>
    </row>
    <row r="149" spans="16:18" x14ac:dyDescent="0.25">
      <c r="P149" s="68"/>
      <c r="Q149" s="68"/>
      <c r="R149" s="68"/>
    </row>
    <row r="150" spans="16:18" x14ac:dyDescent="0.25">
      <c r="P150" s="68"/>
      <c r="Q150" s="68"/>
      <c r="R150" s="68"/>
    </row>
    <row r="151" spans="16:18" x14ac:dyDescent="0.25">
      <c r="P151" s="68"/>
      <c r="Q151" s="68"/>
      <c r="R151" s="68"/>
    </row>
    <row r="152" spans="16:18" x14ac:dyDescent="0.25">
      <c r="P152" s="68"/>
      <c r="Q152" s="68"/>
      <c r="R152" s="68"/>
    </row>
    <row r="153" spans="16:18" x14ac:dyDescent="0.25">
      <c r="P153" s="68"/>
      <c r="Q153" s="68"/>
      <c r="R153" s="68"/>
    </row>
    <row r="154" spans="16:18" x14ac:dyDescent="0.25">
      <c r="P154" s="68"/>
      <c r="Q154" s="68"/>
      <c r="R154" s="68"/>
    </row>
    <row r="155" spans="16:18" x14ac:dyDescent="0.25">
      <c r="P155" s="68"/>
      <c r="Q155" s="68"/>
      <c r="R155" s="68"/>
    </row>
    <row r="156" spans="16:18" x14ac:dyDescent="0.25">
      <c r="P156" s="68"/>
      <c r="Q156" s="68"/>
      <c r="R156" s="68"/>
    </row>
    <row r="157" spans="16:18" x14ac:dyDescent="0.25">
      <c r="P157" s="68"/>
      <c r="Q157" s="68"/>
      <c r="R157" s="68"/>
    </row>
    <row r="158" spans="16:18" x14ac:dyDescent="0.25">
      <c r="P158" s="68"/>
      <c r="Q158" s="68"/>
      <c r="R158" s="68"/>
    </row>
    <row r="159" spans="16:18" x14ac:dyDescent="0.25">
      <c r="P159" s="68"/>
      <c r="Q159" s="68"/>
      <c r="R159" s="68"/>
    </row>
    <row r="160" spans="16:18" x14ac:dyDescent="0.25">
      <c r="P160" s="68"/>
      <c r="Q160" s="68"/>
      <c r="R160" s="68"/>
    </row>
    <row r="161" spans="16:18" x14ac:dyDescent="0.25">
      <c r="P161" s="68"/>
      <c r="Q161" s="68"/>
      <c r="R161" s="68"/>
    </row>
    <row r="162" spans="16:18" x14ac:dyDescent="0.25">
      <c r="P162" s="68"/>
      <c r="Q162" s="68"/>
      <c r="R162" s="68"/>
    </row>
    <row r="163" spans="16:18" x14ac:dyDescent="0.25">
      <c r="P163" s="68"/>
      <c r="Q163" s="68"/>
      <c r="R163" s="68"/>
    </row>
    <row r="164" spans="16:18" x14ac:dyDescent="0.25">
      <c r="P164" s="68"/>
      <c r="Q164" s="68"/>
      <c r="R164" s="68"/>
    </row>
    <row r="165" spans="16:18" x14ac:dyDescent="0.25">
      <c r="P165" s="68"/>
      <c r="Q165" s="68"/>
      <c r="R165" s="68"/>
    </row>
    <row r="166" spans="16:18" x14ac:dyDescent="0.25">
      <c r="P166" s="68"/>
      <c r="Q166" s="68"/>
      <c r="R166" s="68"/>
    </row>
    <row r="167" spans="16:18" x14ac:dyDescent="0.25">
      <c r="P167" s="68"/>
      <c r="Q167" s="68"/>
      <c r="R167" s="68"/>
    </row>
    <row r="168" spans="16:18" x14ac:dyDescent="0.25">
      <c r="P168" s="68"/>
      <c r="Q168" s="68"/>
      <c r="R168" s="68"/>
    </row>
    <row r="169" spans="16:18" x14ac:dyDescent="0.25">
      <c r="P169" s="68"/>
      <c r="Q169" s="68"/>
      <c r="R169" s="68"/>
    </row>
    <row r="170" spans="16:18" x14ac:dyDescent="0.25">
      <c r="P170" s="68"/>
      <c r="Q170" s="68"/>
      <c r="R170" s="68"/>
    </row>
    <row r="171" spans="16:18" x14ac:dyDescent="0.25">
      <c r="P171" s="68"/>
      <c r="Q171" s="68"/>
      <c r="R171" s="68"/>
    </row>
    <row r="172" spans="16:18" x14ac:dyDescent="0.25">
      <c r="P172" s="68"/>
      <c r="Q172" s="68"/>
      <c r="R172" s="68"/>
    </row>
    <row r="173" spans="16:18" x14ac:dyDescent="0.25">
      <c r="P173" s="68"/>
      <c r="Q173" s="68"/>
      <c r="R173" s="68"/>
    </row>
    <row r="174" spans="16:18" x14ac:dyDescent="0.25">
      <c r="P174" s="68"/>
      <c r="Q174" s="68"/>
      <c r="R174" s="68"/>
    </row>
    <row r="175" spans="16:18" x14ac:dyDescent="0.25">
      <c r="P175" s="68"/>
      <c r="Q175" s="68"/>
      <c r="R175" s="68"/>
    </row>
    <row r="176" spans="16:18" x14ac:dyDescent="0.25">
      <c r="P176" s="68"/>
      <c r="Q176" s="68"/>
      <c r="R176" s="68"/>
    </row>
    <row r="177" spans="16:18" x14ac:dyDescent="0.25">
      <c r="P177" s="68"/>
      <c r="Q177" s="68"/>
      <c r="R177" s="68"/>
    </row>
    <row r="178" spans="16:18" x14ac:dyDescent="0.25">
      <c r="P178" s="68"/>
      <c r="Q178" s="68"/>
      <c r="R178" s="68"/>
    </row>
    <row r="179" spans="16:18" x14ac:dyDescent="0.25">
      <c r="P179" s="68"/>
      <c r="Q179" s="68"/>
      <c r="R179" s="68"/>
    </row>
    <row r="180" spans="16:18" x14ac:dyDescent="0.25">
      <c r="P180" s="68"/>
      <c r="Q180" s="68"/>
      <c r="R180" s="68"/>
    </row>
    <row r="181" spans="16:18" x14ac:dyDescent="0.25">
      <c r="P181" s="68"/>
      <c r="Q181" s="68"/>
      <c r="R181" s="68"/>
    </row>
    <row r="182" spans="16:18" x14ac:dyDescent="0.25">
      <c r="P182" s="68"/>
      <c r="Q182" s="68"/>
      <c r="R182" s="68"/>
    </row>
    <row r="183" spans="16:18" x14ac:dyDescent="0.25">
      <c r="P183" s="68"/>
      <c r="Q183" s="68"/>
      <c r="R183" s="68"/>
    </row>
    <row r="184" spans="16:18" x14ac:dyDescent="0.25">
      <c r="P184" s="68"/>
      <c r="Q184" s="68"/>
      <c r="R184" s="68"/>
    </row>
    <row r="185" spans="16:18" x14ac:dyDescent="0.25">
      <c r="P185" s="68"/>
      <c r="Q185" s="68"/>
      <c r="R185" s="68"/>
    </row>
    <row r="186" spans="16:18" x14ac:dyDescent="0.25">
      <c r="P186" s="68"/>
      <c r="Q186" s="68"/>
      <c r="R186" s="68"/>
    </row>
    <row r="187" spans="16:18" x14ac:dyDescent="0.25">
      <c r="P187" s="68"/>
      <c r="Q187" s="68"/>
      <c r="R187" s="68"/>
    </row>
    <row r="188" spans="16:18" x14ac:dyDescent="0.25">
      <c r="P188" s="68"/>
      <c r="Q188" s="68"/>
      <c r="R188" s="68"/>
    </row>
    <row r="189" spans="16:18" x14ac:dyDescent="0.25">
      <c r="P189" s="68"/>
      <c r="Q189" s="68"/>
      <c r="R189" s="68"/>
    </row>
    <row r="190" spans="16:18" x14ac:dyDescent="0.25">
      <c r="P190" s="68"/>
      <c r="Q190" s="68"/>
      <c r="R190" s="68"/>
    </row>
    <row r="191" spans="16:18" x14ac:dyDescent="0.25">
      <c r="P191" s="68"/>
      <c r="Q191" s="68"/>
      <c r="R191" s="68"/>
    </row>
    <row r="192" spans="16:18" x14ac:dyDescent="0.25">
      <c r="P192" s="68"/>
      <c r="Q192" s="68"/>
      <c r="R192" s="68"/>
    </row>
    <row r="193" spans="16:18" x14ac:dyDescent="0.25">
      <c r="P193" s="68"/>
      <c r="Q193" s="68"/>
      <c r="R193" s="68"/>
    </row>
    <row r="194" spans="16:18" x14ac:dyDescent="0.25">
      <c r="P194" s="68"/>
      <c r="Q194" s="68"/>
      <c r="R194" s="68"/>
    </row>
    <row r="195" spans="16:18" x14ac:dyDescent="0.25">
      <c r="P195" s="68"/>
      <c r="Q195" s="68"/>
      <c r="R195" s="68"/>
    </row>
    <row r="196" spans="16:18" x14ac:dyDescent="0.25">
      <c r="P196" s="68"/>
      <c r="Q196" s="68"/>
      <c r="R196" s="68"/>
    </row>
    <row r="197" spans="16:18" x14ac:dyDescent="0.25">
      <c r="P197" s="68"/>
      <c r="Q197" s="68"/>
      <c r="R197" s="68"/>
    </row>
    <row r="198" spans="16:18" x14ac:dyDescent="0.25">
      <c r="P198" s="68"/>
      <c r="Q198" s="68"/>
      <c r="R198" s="68"/>
    </row>
    <row r="199" spans="16:18" x14ac:dyDescent="0.25">
      <c r="P199" s="68"/>
      <c r="Q199" s="68"/>
      <c r="R199" s="68"/>
    </row>
    <row r="200" spans="16:18" x14ac:dyDescent="0.25">
      <c r="P200" s="68"/>
      <c r="Q200" s="68"/>
      <c r="R200" s="68"/>
    </row>
    <row r="201" spans="16:18" x14ac:dyDescent="0.25">
      <c r="P201" s="68"/>
      <c r="Q201" s="68"/>
      <c r="R201" s="68"/>
    </row>
    <row r="202" spans="16:18" x14ac:dyDescent="0.25">
      <c r="P202" s="68"/>
      <c r="Q202" s="68"/>
      <c r="R202" s="68"/>
    </row>
    <row r="203" spans="16:18" x14ac:dyDescent="0.25">
      <c r="P203" s="68"/>
      <c r="Q203" s="68"/>
      <c r="R203" s="68"/>
    </row>
    <row r="204" spans="16:18" x14ac:dyDescent="0.25">
      <c r="P204" s="68"/>
      <c r="Q204" s="68"/>
      <c r="R204" s="68"/>
    </row>
    <row r="205" spans="16:18" x14ac:dyDescent="0.25">
      <c r="P205" s="68"/>
      <c r="Q205" s="68"/>
      <c r="R205" s="68"/>
    </row>
    <row r="206" spans="16:18" x14ac:dyDescent="0.25">
      <c r="P206" s="68"/>
      <c r="Q206" s="68"/>
      <c r="R206" s="68"/>
    </row>
    <row r="207" spans="16:18" x14ac:dyDescent="0.25">
      <c r="P207" s="68"/>
      <c r="Q207" s="68"/>
      <c r="R207" s="68"/>
    </row>
    <row r="208" spans="16:18" x14ac:dyDescent="0.25">
      <c r="P208" s="68"/>
      <c r="Q208" s="68"/>
      <c r="R208" s="68"/>
    </row>
    <row r="209" spans="16:18" x14ac:dyDescent="0.25">
      <c r="P209" s="68"/>
      <c r="Q209" s="68"/>
      <c r="R209" s="68"/>
    </row>
    <row r="210" spans="16:18" x14ac:dyDescent="0.25">
      <c r="P210" s="68"/>
      <c r="Q210" s="68"/>
      <c r="R210" s="68"/>
    </row>
    <row r="211" spans="16:18" x14ac:dyDescent="0.25">
      <c r="P211" s="68"/>
      <c r="Q211" s="68"/>
      <c r="R211" s="68"/>
    </row>
    <row r="212" spans="16:18" x14ac:dyDescent="0.25">
      <c r="P212" s="68"/>
      <c r="Q212" s="68"/>
      <c r="R212" s="68"/>
    </row>
    <row r="213" spans="16:18" x14ac:dyDescent="0.25">
      <c r="P213" s="68"/>
      <c r="Q213" s="68"/>
      <c r="R213" s="68"/>
    </row>
    <row r="214" spans="16:18" x14ac:dyDescent="0.25">
      <c r="P214" s="68"/>
      <c r="Q214" s="68"/>
      <c r="R214" s="68"/>
    </row>
    <row r="215" spans="16:18" x14ac:dyDescent="0.25">
      <c r="P215" s="68"/>
      <c r="Q215" s="68"/>
      <c r="R215" s="68"/>
    </row>
    <row r="216" spans="16:18" x14ac:dyDescent="0.25">
      <c r="P216" s="68"/>
      <c r="Q216" s="68"/>
      <c r="R216" s="68"/>
    </row>
    <row r="217" spans="16:18" x14ac:dyDescent="0.25">
      <c r="P217" s="68"/>
      <c r="Q217" s="68"/>
      <c r="R217" s="68"/>
    </row>
    <row r="218" spans="16:18" x14ac:dyDescent="0.25">
      <c r="P218" s="68"/>
      <c r="Q218" s="68"/>
      <c r="R218" s="68"/>
    </row>
    <row r="219" spans="16:18" x14ac:dyDescent="0.25">
      <c r="P219" s="68"/>
      <c r="Q219" s="68"/>
      <c r="R219" s="68"/>
    </row>
    <row r="220" spans="16:18" x14ac:dyDescent="0.25">
      <c r="P220" s="68"/>
      <c r="Q220" s="68"/>
      <c r="R220" s="68"/>
    </row>
    <row r="221" spans="16:18" x14ac:dyDescent="0.25">
      <c r="P221" s="68"/>
      <c r="Q221" s="68"/>
      <c r="R221" s="68"/>
    </row>
    <row r="222" spans="16:18" x14ac:dyDescent="0.25">
      <c r="P222" s="68"/>
      <c r="Q222" s="68"/>
      <c r="R222" s="68"/>
    </row>
    <row r="223" spans="16:18" x14ac:dyDescent="0.25">
      <c r="P223" s="68"/>
      <c r="Q223" s="68"/>
      <c r="R223" s="68"/>
    </row>
    <row r="224" spans="16:18" x14ac:dyDescent="0.25">
      <c r="P224" s="68"/>
      <c r="Q224" s="68"/>
      <c r="R224" s="68"/>
    </row>
    <row r="225" spans="16:18" x14ac:dyDescent="0.25">
      <c r="P225" s="68"/>
      <c r="Q225" s="68"/>
      <c r="R225" s="68"/>
    </row>
    <row r="226" spans="16:18" x14ac:dyDescent="0.25">
      <c r="P226" s="68"/>
      <c r="Q226" s="68"/>
      <c r="R226" s="68"/>
    </row>
    <row r="227" spans="16:18" x14ac:dyDescent="0.25">
      <c r="P227" s="68"/>
      <c r="Q227" s="68"/>
      <c r="R227" s="68"/>
    </row>
    <row r="228" spans="16:18" x14ac:dyDescent="0.25">
      <c r="P228" s="68"/>
      <c r="Q228" s="68"/>
      <c r="R228" s="68"/>
    </row>
    <row r="229" spans="16:18" x14ac:dyDescent="0.25">
      <c r="P229" s="68"/>
      <c r="Q229" s="68"/>
      <c r="R229" s="68"/>
    </row>
    <row r="230" spans="16:18" x14ac:dyDescent="0.25">
      <c r="P230" s="68"/>
      <c r="Q230" s="68"/>
      <c r="R230" s="68"/>
    </row>
    <row r="231" spans="16:18" x14ac:dyDescent="0.25">
      <c r="P231" s="68"/>
      <c r="Q231" s="68"/>
      <c r="R231" s="68"/>
    </row>
    <row r="232" spans="16:18" x14ac:dyDescent="0.25">
      <c r="P232" s="68"/>
      <c r="Q232" s="68"/>
      <c r="R232" s="68"/>
    </row>
    <row r="233" spans="16:18" x14ac:dyDescent="0.25">
      <c r="P233" s="68"/>
      <c r="Q233" s="68"/>
      <c r="R233" s="68"/>
    </row>
    <row r="234" spans="16:18" x14ac:dyDescent="0.25">
      <c r="P234" s="68"/>
      <c r="Q234" s="68"/>
      <c r="R234" s="68"/>
    </row>
    <row r="235" spans="16:18" x14ac:dyDescent="0.25">
      <c r="P235" s="68"/>
      <c r="Q235" s="68"/>
      <c r="R235" s="68"/>
    </row>
    <row r="236" spans="16:18" x14ac:dyDescent="0.25">
      <c r="P236" s="68"/>
      <c r="Q236" s="68"/>
      <c r="R236" s="68"/>
    </row>
    <row r="237" spans="16:18" x14ac:dyDescent="0.25">
      <c r="P237" s="68"/>
      <c r="Q237" s="68"/>
      <c r="R237" s="68"/>
    </row>
    <row r="238" spans="16:18" x14ac:dyDescent="0.25">
      <c r="P238" s="68"/>
      <c r="Q238" s="68"/>
      <c r="R238" s="68"/>
    </row>
    <row r="239" spans="16:18" x14ac:dyDescent="0.25">
      <c r="P239" s="68"/>
      <c r="Q239" s="68"/>
      <c r="R239" s="68"/>
    </row>
    <row r="240" spans="16:18" x14ac:dyDescent="0.25">
      <c r="P240" s="68"/>
      <c r="Q240" s="68"/>
      <c r="R240" s="68"/>
    </row>
    <row r="241" spans="16:18" x14ac:dyDescent="0.25">
      <c r="P241" s="68"/>
      <c r="Q241" s="68"/>
      <c r="R241" s="68"/>
    </row>
    <row r="242" spans="16:18" x14ac:dyDescent="0.25">
      <c r="P242" s="68"/>
      <c r="Q242" s="68"/>
      <c r="R242" s="68"/>
    </row>
    <row r="243" spans="16:18" x14ac:dyDescent="0.25">
      <c r="P243" s="68"/>
      <c r="Q243" s="68"/>
      <c r="R243" s="68"/>
    </row>
    <row r="244" spans="16:18" x14ac:dyDescent="0.25">
      <c r="P244" s="68"/>
      <c r="Q244" s="68"/>
      <c r="R244" s="68"/>
    </row>
    <row r="245" spans="16:18" x14ac:dyDescent="0.25">
      <c r="P245" s="68"/>
      <c r="Q245" s="68"/>
      <c r="R245" s="68"/>
    </row>
    <row r="246" spans="16:18" x14ac:dyDescent="0.25">
      <c r="P246" s="68"/>
      <c r="Q246" s="68"/>
      <c r="R246" s="68"/>
    </row>
    <row r="247" spans="16:18" x14ac:dyDescent="0.25">
      <c r="P247" s="68"/>
      <c r="Q247" s="68"/>
      <c r="R247" s="68"/>
    </row>
    <row r="248" spans="16:18" x14ac:dyDescent="0.25">
      <c r="P248" s="68"/>
      <c r="Q248" s="68"/>
      <c r="R248" s="68"/>
    </row>
    <row r="249" spans="16:18" x14ac:dyDescent="0.25">
      <c r="P249" s="68"/>
      <c r="Q249" s="68"/>
      <c r="R249" s="68"/>
    </row>
    <row r="250" spans="16:18" x14ac:dyDescent="0.25">
      <c r="P250" s="68"/>
      <c r="Q250" s="68"/>
      <c r="R250" s="68"/>
    </row>
    <row r="251" spans="16:18" x14ac:dyDescent="0.25">
      <c r="P251" s="68"/>
      <c r="Q251" s="68"/>
      <c r="R251" s="68"/>
    </row>
    <row r="252" spans="16:18" x14ac:dyDescent="0.25">
      <c r="P252" s="68"/>
      <c r="Q252" s="68"/>
      <c r="R252" s="68"/>
    </row>
    <row r="253" spans="16:18" x14ac:dyDescent="0.25">
      <c r="P253" s="68"/>
      <c r="Q253" s="68"/>
      <c r="R253" s="68"/>
    </row>
    <row r="254" spans="16:18" x14ac:dyDescent="0.25">
      <c r="P254" s="68"/>
      <c r="Q254" s="68"/>
      <c r="R254" s="68"/>
    </row>
    <row r="255" spans="16:18" x14ac:dyDescent="0.25">
      <c r="P255" s="68"/>
      <c r="Q255" s="68"/>
      <c r="R255" s="68"/>
    </row>
    <row r="256" spans="16:18" x14ac:dyDescent="0.25">
      <c r="P256" s="68"/>
      <c r="Q256" s="68"/>
      <c r="R256" s="68"/>
    </row>
    <row r="257" spans="16:18" x14ac:dyDescent="0.25">
      <c r="P257" s="68"/>
      <c r="Q257" s="68"/>
      <c r="R257" s="68"/>
    </row>
    <row r="258" spans="16:18" x14ac:dyDescent="0.25">
      <c r="P258" s="68"/>
      <c r="Q258" s="68"/>
      <c r="R258" s="68"/>
    </row>
    <row r="259" spans="16:18" x14ac:dyDescent="0.25">
      <c r="P259" s="68"/>
      <c r="Q259" s="68"/>
      <c r="R259" s="68"/>
    </row>
    <row r="260" spans="16:18" x14ac:dyDescent="0.25">
      <c r="P260" s="68"/>
      <c r="Q260" s="68"/>
      <c r="R260" s="68"/>
    </row>
    <row r="261" spans="16:18" x14ac:dyDescent="0.25">
      <c r="P261" s="68"/>
      <c r="Q261" s="68"/>
      <c r="R261" s="68"/>
    </row>
    <row r="262" spans="16:18" x14ac:dyDescent="0.25">
      <c r="P262" s="68"/>
      <c r="Q262" s="68"/>
      <c r="R262" s="68"/>
    </row>
    <row r="263" spans="16:18" x14ac:dyDescent="0.25">
      <c r="P263" s="68"/>
      <c r="Q263" s="68"/>
      <c r="R263" s="68"/>
    </row>
    <row r="264" spans="16:18" x14ac:dyDescent="0.25">
      <c r="P264" s="68"/>
      <c r="Q264" s="68"/>
      <c r="R264" s="68"/>
    </row>
    <row r="265" spans="16:18" x14ac:dyDescent="0.25">
      <c r="P265" s="68"/>
      <c r="Q265" s="68"/>
      <c r="R265" s="68"/>
    </row>
    <row r="266" spans="16:18" x14ac:dyDescent="0.25">
      <c r="P266" s="68"/>
      <c r="Q266" s="68"/>
      <c r="R266" s="68"/>
    </row>
    <row r="267" spans="16:18" x14ac:dyDescent="0.25">
      <c r="P267" s="68"/>
      <c r="Q267" s="68"/>
      <c r="R267" s="68"/>
    </row>
    <row r="268" spans="16:18" x14ac:dyDescent="0.25">
      <c r="P268" s="68"/>
      <c r="Q268" s="68"/>
      <c r="R268" s="68"/>
    </row>
    <row r="269" spans="16:18" x14ac:dyDescent="0.25">
      <c r="P269" s="68"/>
      <c r="Q269" s="68"/>
      <c r="R269" s="68"/>
    </row>
    <row r="270" spans="16:18" x14ac:dyDescent="0.25">
      <c r="P270" s="68"/>
      <c r="Q270" s="68"/>
      <c r="R270" s="68"/>
    </row>
    <row r="271" spans="16:18" x14ac:dyDescent="0.25">
      <c r="P271" s="68"/>
      <c r="Q271" s="68"/>
      <c r="R271" s="68"/>
    </row>
    <row r="272" spans="16:18" x14ac:dyDescent="0.25">
      <c r="P272" s="68"/>
      <c r="Q272" s="68"/>
      <c r="R272" s="68"/>
    </row>
    <row r="273" spans="16:18" x14ac:dyDescent="0.25">
      <c r="P273" s="68"/>
      <c r="Q273" s="68"/>
      <c r="R273" s="68"/>
    </row>
    <row r="274" spans="16:18" x14ac:dyDescent="0.25">
      <c r="P274" s="68"/>
      <c r="Q274" s="68"/>
      <c r="R274" s="68"/>
    </row>
    <row r="275" spans="16:18" x14ac:dyDescent="0.25">
      <c r="P275" s="68"/>
      <c r="Q275" s="68"/>
      <c r="R275" s="68"/>
    </row>
    <row r="276" spans="16:18" x14ac:dyDescent="0.25">
      <c r="P276" s="68"/>
      <c r="Q276" s="68"/>
      <c r="R276" s="68"/>
    </row>
    <row r="277" spans="16:18" x14ac:dyDescent="0.25">
      <c r="P277" s="68"/>
      <c r="Q277" s="68"/>
      <c r="R277" s="68"/>
    </row>
    <row r="278" spans="16:18" x14ac:dyDescent="0.25">
      <c r="P278" s="68"/>
      <c r="Q278" s="68"/>
      <c r="R278" s="68"/>
    </row>
    <row r="279" spans="16:18" x14ac:dyDescent="0.25">
      <c r="P279" s="68"/>
      <c r="Q279" s="68"/>
      <c r="R279" s="68"/>
    </row>
    <row r="280" spans="16:18" x14ac:dyDescent="0.25">
      <c r="P280" s="68"/>
      <c r="Q280" s="68"/>
      <c r="R280" s="68"/>
    </row>
    <row r="281" spans="16:18" x14ac:dyDescent="0.25">
      <c r="P281" s="68"/>
      <c r="Q281" s="68"/>
      <c r="R281" s="68"/>
    </row>
    <row r="282" spans="16:18" x14ac:dyDescent="0.25">
      <c r="P282" s="68"/>
      <c r="Q282" s="68"/>
      <c r="R282" s="68"/>
    </row>
    <row r="283" spans="16:18" x14ac:dyDescent="0.25">
      <c r="P283" s="68"/>
      <c r="Q283" s="68"/>
      <c r="R283" s="68"/>
    </row>
    <row r="284" spans="16:18" x14ac:dyDescent="0.25">
      <c r="P284" s="68"/>
      <c r="Q284" s="68"/>
      <c r="R284" s="68"/>
    </row>
    <row r="285" spans="16:18" x14ac:dyDescent="0.25">
      <c r="P285" s="68"/>
      <c r="Q285" s="68"/>
      <c r="R285" s="68"/>
    </row>
    <row r="286" spans="16:18" x14ac:dyDescent="0.25">
      <c r="P286" s="68"/>
      <c r="Q286" s="68"/>
      <c r="R286" s="68"/>
    </row>
    <row r="287" spans="16:18" x14ac:dyDescent="0.25">
      <c r="P287" s="68"/>
      <c r="Q287" s="68"/>
      <c r="R287" s="68"/>
    </row>
    <row r="288" spans="16:18" x14ac:dyDescent="0.25">
      <c r="P288" s="68"/>
      <c r="Q288" s="68"/>
      <c r="R288" s="68"/>
    </row>
    <row r="289" spans="16:18" x14ac:dyDescent="0.25">
      <c r="P289" s="68"/>
      <c r="Q289" s="68"/>
      <c r="R289" s="68"/>
    </row>
    <row r="290" spans="16:18" x14ac:dyDescent="0.25">
      <c r="P290" s="68"/>
      <c r="Q290" s="68"/>
      <c r="R290" s="68"/>
    </row>
    <row r="291" spans="16:18" x14ac:dyDescent="0.25">
      <c r="P291" s="68"/>
      <c r="Q291" s="68"/>
      <c r="R291" s="68"/>
    </row>
    <row r="292" spans="16:18" x14ac:dyDescent="0.25">
      <c r="P292" s="68"/>
      <c r="Q292" s="68"/>
      <c r="R292" s="68"/>
    </row>
    <row r="293" spans="16:18" x14ac:dyDescent="0.25">
      <c r="P293" s="68"/>
      <c r="Q293" s="68"/>
      <c r="R293" s="68"/>
    </row>
    <row r="294" spans="16:18" x14ac:dyDescent="0.25">
      <c r="P294" s="68"/>
      <c r="Q294" s="68"/>
      <c r="R294" s="68"/>
    </row>
    <row r="295" spans="16:18" x14ac:dyDescent="0.25">
      <c r="P295" s="68"/>
      <c r="Q295" s="68"/>
      <c r="R295" s="68"/>
    </row>
    <row r="296" spans="16:18" x14ac:dyDescent="0.25">
      <c r="P296" s="68"/>
      <c r="Q296" s="68"/>
      <c r="R296" s="68"/>
    </row>
    <row r="297" spans="16:18" x14ac:dyDescent="0.25">
      <c r="P297" s="68"/>
      <c r="Q297" s="68"/>
      <c r="R297" s="68"/>
    </row>
    <row r="298" spans="16:18" x14ac:dyDescent="0.25">
      <c r="P298" s="68"/>
      <c r="Q298" s="68"/>
      <c r="R298" s="68"/>
    </row>
    <row r="299" spans="16:18" x14ac:dyDescent="0.25">
      <c r="P299" s="68"/>
      <c r="Q299" s="68"/>
      <c r="R299" s="68"/>
    </row>
    <row r="300" spans="16:18" x14ac:dyDescent="0.25">
      <c r="P300" s="68"/>
      <c r="Q300" s="68"/>
      <c r="R300" s="68"/>
    </row>
    <row r="301" spans="16:18" x14ac:dyDescent="0.25">
      <c r="P301" s="68"/>
      <c r="Q301" s="68"/>
      <c r="R301" s="68"/>
    </row>
    <row r="302" spans="16:18" x14ac:dyDescent="0.25">
      <c r="P302" s="68"/>
      <c r="Q302" s="68"/>
      <c r="R302" s="68"/>
    </row>
    <row r="303" spans="16:18" x14ac:dyDescent="0.25">
      <c r="P303" s="68"/>
      <c r="Q303" s="68"/>
      <c r="R303" s="68"/>
    </row>
    <row r="304" spans="16:18" x14ac:dyDescent="0.25">
      <c r="P304" s="68"/>
      <c r="Q304" s="68"/>
      <c r="R304" s="68"/>
    </row>
    <row r="305" spans="16:18" x14ac:dyDescent="0.25">
      <c r="P305" s="68"/>
      <c r="Q305" s="68"/>
      <c r="R305" s="68"/>
    </row>
    <row r="306" spans="16:18" x14ac:dyDescent="0.25">
      <c r="P306" s="68"/>
      <c r="Q306" s="68"/>
      <c r="R306" s="68"/>
    </row>
    <row r="307" spans="16:18" x14ac:dyDescent="0.25">
      <c r="P307" s="68"/>
      <c r="Q307" s="68"/>
      <c r="R307" s="68"/>
    </row>
    <row r="308" spans="16:18" x14ac:dyDescent="0.25">
      <c r="P308" s="68"/>
      <c r="Q308" s="68"/>
      <c r="R308" s="68"/>
    </row>
    <row r="309" spans="16:18" x14ac:dyDescent="0.25">
      <c r="P309" s="68"/>
      <c r="Q309" s="68"/>
      <c r="R309" s="68"/>
    </row>
    <row r="310" spans="16:18" x14ac:dyDescent="0.25">
      <c r="P310" s="68"/>
      <c r="Q310" s="68"/>
      <c r="R310" s="68"/>
    </row>
    <row r="311" spans="16:18" x14ac:dyDescent="0.25">
      <c r="P311" s="68"/>
      <c r="Q311" s="68"/>
      <c r="R311" s="68"/>
    </row>
    <row r="312" spans="16:18" x14ac:dyDescent="0.25">
      <c r="P312" s="68"/>
      <c r="Q312" s="68"/>
      <c r="R312" s="68"/>
    </row>
    <row r="313" spans="16:18" x14ac:dyDescent="0.25">
      <c r="P313" s="68"/>
      <c r="Q313" s="68"/>
      <c r="R313" s="68"/>
    </row>
    <row r="314" spans="16:18" x14ac:dyDescent="0.25">
      <c r="P314" s="68"/>
      <c r="Q314" s="68"/>
      <c r="R314" s="68"/>
    </row>
    <row r="315" spans="16:18" x14ac:dyDescent="0.25">
      <c r="P315" s="68"/>
      <c r="Q315" s="68"/>
      <c r="R315" s="68"/>
    </row>
    <row r="316" spans="16:18" x14ac:dyDescent="0.25">
      <c r="P316" s="68"/>
      <c r="Q316" s="68"/>
      <c r="R316" s="68"/>
    </row>
    <row r="317" spans="16:18" x14ac:dyDescent="0.25">
      <c r="P317" s="68"/>
      <c r="Q317" s="68"/>
      <c r="R317" s="68"/>
    </row>
    <row r="318" spans="16:18" x14ac:dyDescent="0.25">
      <c r="P318" s="68"/>
      <c r="Q318" s="68"/>
      <c r="R318" s="68"/>
    </row>
    <row r="319" spans="16:18" x14ac:dyDescent="0.25">
      <c r="P319" s="68"/>
      <c r="Q319" s="68"/>
      <c r="R319" s="68"/>
    </row>
    <row r="320" spans="16:18" x14ac:dyDescent="0.25">
      <c r="P320" s="68"/>
      <c r="Q320" s="68"/>
      <c r="R320" s="68"/>
    </row>
    <row r="321" spans="16:18" x14ac:dyDescent="0.25">
      <c r="P321" s="68"/>
      <c r="Q321" s="68"/>
      <c r="R321" s="68"/>
    </row>
    <row r="322" spans="16:18" x14ac:dyDescent="0.25">
      <c r="P322" s="68"/>
      <c r="Q322" s="68"/>
      <c r="R322" s="68"/>
    </row>
    <row r="323" spans="16:18" x14ac:dyDescent="0.25">
      <c r="P323" s="68"/>
      <c r="Q323" s="68"/>
      <c r="R323" s="68"/>
    </row>
    <row r="324" spans="16:18" x14ac:dyDescent="0.25">
      <c r="P324" s="68"/>
      <c r="Q324" s="68"/>
      <c r="R324" s="68"/>
    </row>
    <row r="325" spans="16:18" x14ac:dyDescent="0.25">
      <c r="P325" s="68"/>
      <c r="Q325" s="68"/>
      <c r="R325" s="68"/>
    </row>
    <row r="326" spans="16:18" x14ac:dyDescent="0.25">
      <c r="P326" s="68"/>
      <c r="Q326" s="68"/>
      <c r="R326" s="68"/>
    </row>
    <row r="327" spans="16:18" x14ac:dyDescent="0.25">
      <c r="P327" s="68"/>
      <c r="Q327" s="68"/>
      <c r="R327" s="68"/>
    </row>
    <row r="328" spans="16:18" x14ac:dyDescent="0.25">
      <c r="P328" s="68"/>
      <c r="Q328" s="68"/>
      <c r="R328" s="68"/>
    </row>
    <row r="329" spans="16:18" x14ac:dyDescent="0.25">
      <c r="P329" s="68"/>
      <c r="Q329" s="68"/>
      <c r="R329" s="68"/>
    </row>
    <row r="330" spans="16:18" x14ac:dyDescent="0.25">
      <c r="P330" s="68"/>
      <c r="Q330" s="68"/>
      <c r="R330" s="68"/>
    </row>
    <row r="331" spans="16:18" x14ac:dyDescent="0.25">
      <c r="P331" s="68"/>
      <c r="Q331" s="68"/>
      <c r="R331" s="68"/>
    </row>
    <row r="332" spans="16:18" x14ac:dyDescent="0.25">
      <c r="P332" s="68"/>
      <c r="Q332" s="68"/>
      <c r="R332" s="68"/>
    </row>
    <row r="333" spans="16:18" x14ac:dyDescent="0.25">
      <c r="P333" s="68"/>
      <c r="Q333" s="68"/>
      <c r="R333" s="68"/>
    </row>
    <row r="334" spans="16:18" x14ac:dyDescent="0.25">
      <c r="P334" s="68"/>
      <c r="Q334" s="68"/>
      <c r="R334" s="68"/>
    </row>
    <row r="335" spans="16:18" x14ac:dyDescent="0.25">
      <c r="P335" s="68"/>
      <c r="Q335" s="68"/>
      <c r="R335" s="68"/>
    </row>
    <row r="336" spans="16:18" x14ac:dyDescent="0.25">
      <c r="P336" s="68"/>
      <c r="Q336" s="68"/>
      <c r="R336" s="68"/>
    </row>
    <row r="337" spans="16:18" x14ac:dyDescent="0.25">
      <c r="P337" s="68"/>
      <c r="Q337" s="68"/>
      <c r="R337" s="68"/>
    </row>
    <row r="338" spans="16:18" x14ac:dyDescent="0.25">
      <c r="P338" s="68"/>
      <c r="Q338" s="68"/>
      <c r="R338" s="68"/>
    </row>
    <row r="339" spans="16:18" x14ac:dyDescent="0.25">
      <c r="P339" s="68"/>
      <c r="Q339" s="68"/>
      <c r="R339" s="68"/>
    </row>
    <row r="340" spans="16:18" x14ac:dyDescent="0.25">
      <c r="P340" s="68"/>
      <c r="Q340" s="68"/>
      <c r="R340" s="68"/>
    </row>
    <row r="341" spans="16:18" x14ac:dyDescent="0.25">
      <c r="P341" s="68"/>
      <c r="Q341" s="68"/>
      <c r="R341" s="68"/>
    </row>
    <row r="342" spans="16:18" x14ac:dyDescent="0.25">
      <c r="P342" s="68"/>
      <c r="Q342" s="68"/>
      <c r="R342" s="68"/>
    </row>
    <row r="343" spans="16:18" x14ac:dyDescent="0.25">
      <c r="P343" s="68"/>
      <c r="Q343" s="68"/>
      <c r="R343" s="68"/>
    </row>
    <row r="344" spans="16:18" x14ac:dyDescent="0.25">
      <c r="P344" s="68"/>
      <c r="Q344" s="68"/>
      <c r="R344" s="68"/>
    </row>
    <row r="345" spans="16:18" x14ac:dyDescent="0.25">
      <c r="P345" s="68"/>
      <c r="Q345" s="68"/>
      <c r="R345" s="68"/>
    </row>
    <row r="346" spans="16:18" x14ac:dyDescent="0.25">
      <c r="P346" s="68"/>
      <c r="Q346" s="68"/>
      <c r="R346" s="68"/>
    </row>
    <row r="347" spans="16:18" x14ac:dyDescent="0.25">
      <c r="P347" s="68"/>
      <c r="Q347" s="68"/>
      <c r="R347" s="68"/>
    </row>
    <row r="348" spans="16:18" x14ac:dyDescent="0.25">
      <c r="P348" s="68"/>
      <c r="Q348" s="68"/>
      <c r="R348" s="68"/>
    </row>
    <row r="349" spans="16:18" x14ac:dyDescent="0.25">
      <c r="P349" s="68"/>
      <c r="Q349" s="68"/>
      <c r="R349" s="68"/>
    </row>
    <row r="350" spans="16:18" x14ac:dyDescent="0.25">
      <c r="P350" s="68"/>
      <c r="Q350" s="68"/>
      <c r="R350" s="68"/>
    </row>
    <row r="351" spans="16:18" x14ac:dyDescent="0.25">
      <c r="P351" s="68"/>
      <c r="Q351" s="68"/>
      <c r="R351" s="68"/>
    </row>
    <row r="352" spans="16:18" x14ac:dyDescent="0.25">
      <c r="P352" s="68"/>
      <c r="Q352" s="68"/>
      <c r="R352" s="68"/>
    </row>
    <row r="353" spans="16:18" x14ac:dyDescent="0.25">
      <c r="P353" s="68"/>
      <c r="Q353" s="68"/>
      <c r="R353" s="68"/>
    </row>
    <row r="354" spans="16:18" x14ac:dyDescent="0.25">
      <c r="P354" s="68"/>
      <c r="Q354" s="68"/>
      <c r="R354" s="68"/>
    </row>
    <row r="355" spans="16:18" x14ac:dyDescent="0.25">
      <c r="P355" s="68"/>
      <c r="Q355" s="68"/>
      <c r="R355" s="68"/>
    </row>
    <row r="356" spans="16:18" x14ac:dyDescent="0.25">
      <c r="P356" s="68"/>
      <c r="Q356" s="68"/>
      <c r="R356" s="68"/>
    </row>
    <row r="357" spans="16:18" x14ac:dyDescent="0.25">
      <c r="P357" s="68"/>
      <c r="Q357" s="68"/>
      <c r="R357" s="68"/>
    </row>
    <row r="358" spans="16:18" x14ac:dyDescent="0.25">
      <c r="P358" s="68"/>
      <c r="Q358" s="68"/>
      <c r="R358" s="68"/>
    </row>
    <row r="359" spans="16:18" x14ac:dyDescent="0.25">
      <c r="P359" s="68"/>
      <c r="Q359" s="68"/>
      <c r="R359" s="68"/>
    </row>
    <row r="360" spans="16:18" x14ac:dyDescent="0.25">
      <c r="P360" s="68"/>
      <c r="Q360" s="68"/>
      <c r="R360" s="68"/>
    </row>
    <row r="361" spans="16:18" x14ac:dyDescent="0.25">
      <c r="P361" s="68"/>
      <c r="Q361" s="68"/>
      <c r="R361" s="68"/>
    </row>
    <row r="362" spans="16:18" x14ac:dyDescent="0.25">
      <c r="P362" s="68"/>
      <c r="Q362" s="68"/>
      <c r="R362" s="68"/>
    </row>
    <row r="363" spans="16:18" x14ac:dyDescent="0.25">
      <c r="P363" s="68"/>
      <c r="Q363" s="68"/>
      <c r="R363" s="68"/>
    </row>
    <row r="364" spans="16:18" x14ac:dyDescent="0.25">
      <c r="P364" s="68"/>
      <c r="Q364" s="68"/>
      <c r="R364" s="68"/>
    </row>
    <row r="365" spans="16:18" x14ac:dyDescent="0.25">
      <c r="P365" s="68"/>
      <c r="Q365" s="68"/>
      <c r="R365" s="68"/>
    </row>
    <row r="366" spans="16:18" x14ac:dyDescent="0.25">
      <c r="P366" s="68"/>
      <c r="Q366" s="68"/>
      <c r="R366" s="68"/>
    </row>
    <row r="367" spans="16:18" x14ac:dyDescent="0.25">
      <c r="P367" s="68"/>
      <c r="Q367" s="68"/>
      <c r="R367" s="68"/>
    </row>
    <row r="368" spans="16:18" x14ac:dyDescent="0.25">
      <c r="P368" s="68"/>
      <c r="Q368" s="68"/>
      <c r="R368" s="68"/>
    </row>
    <row r="369" spans="16:18" x14ac:dyDescent="0.25">
      <c r="P369" s="68"/>
      <c r="Q369" s="68"/>
      <c r="R369" s="68"/>
    </row>
    <row r="370" spans="16:18" x14ac:dyDescent="0.25">
      <c r="P370" s="68"/>
      <c r="Q370" s="68"/>
      <c r="R370" s="68"/>
    </row>
    <row r="371" spans="16:18" x14ac:dyDescent="0.25">
      <c r="P371" s="68"/>
      <c r="Q371" s="68"/>
      <c r="R371" s="68"/>
    </row>
    <row r="372" spans="16:18" x14ac:dyDescent="0.25">
      <c r="P372" s="68"/>
      <c r="Q372" s="68"/>
      <c r="R372" s="68"/>
    </row>
    <row r="373" spans="16:18" x14ac:dyDescent="0.25">
      <c r="P373" s="68"/>
      <c r="Q373" s="68"/>
      <c r="R373" s="68"/>
    </row>
    <row r="374" spans="16:18" x14ac:dyDescent="0.25">
      <c r="P374" s="68"/>
      <c r="Q374" s="68"/>
      <c r="R374" s="68"/>
    </row>
    <row r="375" spans="16:18" x14ac:dyDescent="0.25">
      <c r="P375" s="68"/>
      <c r="Q375" s="68"/>
      <c r="R375" s="68"/>
    </row>
    <row r="376" spans="16:18" x14ac:dyDescent="0.25">
      <c r="P376" s="68"/>
      <c r="Q376" s="68"/>
      <c r="R376" s="68"/>
    </row>
    <row r="377" spans="16:18" x14ac:dyDescent="0.25">
      <c r="P377" s="68"/>
      <c r="Q377" s="68"/>
      <c r="R377" s="68"/>
    </row>
    <row r="378" spans="16:18" x14ac:dyDescent="0.25">
      <c r="P378" s="68"/>
      <c r="Q378" s="68"/>
      <c r="R378" s="68"/>
    </row>
    <row r="379" spans="16:18" x14ac:dyDescent="0.25">
      <c r="P379" s="68"/>
      <c r="Q379" s="68"/>
      <c r="R379" s="68"/>
    </row>
    <row r="380" spans="16:18" x14ac:dyDescent="0.25">
      <c r="P380" s="68"/>
      <c r="Q380" s="68"/>
      <c r="R380" s="68"/>
    </row>
    <row r="381" spans="16:18" x14ac:dyDescent="0.25">
      <c r="P381" s="68"/>
      <c r="Q381" s="68"/>
      <c r="R381" s="68"/>
    </row>
    <row r="382" spans="16:18" x14ac:dyDescent="0.25">
      <c r="P382" s="68"/>
      <c r="Q382" s="68"/>
      <c r="R382" s="68"/>
    </row>
    <row r="383" spans="16:18" x14ac:dyDescent="0.25">
      <c r="P383" s="68"/>
      <c r="Q383" s="68"/>
      <c r="R383" s="68"/>
    </row>
    <row r="384" spans="16:18" x14ac:dyDescent="0.25">
      <c r="P384" s="68"/>
      <c r="Q384" s="68"/>
      <c r="R384" s="68"/>
    </row>
    <row r="385" spans="16:18" x14ac:dyDescent="0.25">
      <c r="P385" s="68"/>
      <c r="Q385" s="68"/>
      <c r="R385" s="68"/>
    </row>
    <row r="386" spans="16:18" x14ac:dyDescent="0.25">
      <c r="P386" s="68"/>
      <c r="Q386" s="68"/>
      <c r="R386" s="68"/>
    </row>
    <row r="387" spans="16:18" x14ac:dyDescent="0.25">
      <c r="P387" s="68"/>
      <c r="Q387" s="68"/>
      <c r="R387" s="68"/>
    </row>
    <row r="388" spans="16:18" x14ac:dyDescent="0.25">
      <c r="P388" s="68"/>
      <c r="Q388" s="68"/>
      <c r="R388" s="68"/>
    </row>
    <row r="389" spans="16:18" x14ac:dyDescent="0.25">
      <c r="P389" s="68"/>
      <c r="Q389" s="68"/>
      <c r="R389" s="68"/>
    </row>
    <row r="390" spans="16:18" x14ac:dyDescent="0.25">
      <c r="P390" s="68"/>
      <c r="Q390" s="68"/>
      <c r="R390" s="68"/>
    </row>
    <row r="391" spans="16:18" x14ac:dyDescent="0.25">
      <c r="P391" s="68"/>
      <c r="Q391" s="68"/>
      <c r="R391" s="68"/>
    </row>
    <row r="392" spans="16:18" x14ac:dyDescent="0.25">
      <c r="P392" s="68"/>
      <c r="Q392" s="68"/>
      <c r="R392" s="68"/>
    </row>
    <row r="393" spans="16:18" x14ac:dyDescent="0.25">
      <c r="P393" s="68"/>
      <c r="Q393" s="68"/>
      <c r="R393" s="68"/>
    </row>
    <row r="394" spans="16:18" x14ac:dyDescent="0.25">
      <c r="P394" s="68"/>
      <c r="Q394" s="68"/>
      <c r="R394" s="68"/>
    </row>
    <row r="395" spans="16:18" x14ac:dyDescent="0.25">
      <c r="P395" s="68"/>
      <c r="Q395" s="68"/>
      <c r="R395" s="68"/>
    </row>
    <row r="396" spans="16:18" x14ac:dyDescent="0.25">
      <c r="P396" s="68"/>
      <c r="Q396" s="68"/>
      <c r="R396" s="68"/>
    </row>
    <row r="397" spans="16:18" x14ac:dyDescent="0.25">
      <c r="P397" s="68"/>
      <c r="Q397" s="68"/>
      <c r="R397" s="68"/>
    </row>
    <row r="398" spans="16:18" x14ac:dyDescent="0.25">
      <c r="P398" s="68"/>
      <c r="Q398" s="68"/>
      <c r="R398" s="68"/>
    </row>
    <row r="399" spans="16:18" x14ac:dyDescent="0.25">
      <c r="P399" s="68"/>
      <c r="Q399" s="68"/>
      <c r="R399" s="68"/>
    </row>
    <row r="400" spans="16:18" x14ac:dyDescent="0.25">
      <c r="P400" s="68"/>
      <c r="Q400" s="68"/>
      <c r="R400" s="68"/>
    </row>
    <row r="401" spans="16:18" x14ac:dyDescent="0.25">
      <c r="P401" s="68"/>
      <c r="Q401" s="68"/>
      <c r="R401" s="68"/>
    </row>
    <row r="402" spans="16:18" x14ac:dyDescent="0.25">
      <c r="P402" s="68"/>
      <c r="Q402" s="68"/>
      <c r="R402" s="68"/>
    </row>
    <row r="403" spans="16:18" x14ac:dyDescent="0.25">
      <c r="P403" s="68"/>
      <c r="Q403" s="68"/>
      <c r="R403" s="68"/>
    </row>
    <row r="404" spans="16:18" x14ac:dyDescent="0.25">
      <c r="P404" s="68"/>
      <c r="Q404" s="68"/>
      <c r="R404" s="68"/>
    </row>
    <row r="405" spans="16:18" x14ac:dyDescent="0.25">
      <c r="P405" s="68"/>
      <c r="Q405" s="68"/>
      <c r="R405" s="68"/>
    </row>
    <row r="406" spans="16:18" x14ac:dyDescent="0.25">
      <c r="P406" s="68"/>
      <c r="Q406" s="68"/>
      <c r="R406" s="68"/>
    </row>
    <row r="407" spans="16:18" x14ac:dyDescent="0.25">
      <c r="P407" s="68"/>
      <c r="Q407" s="68"/>
      <c r="R407" s="68"/>
    </row>
    <row r="408" spans="16:18" x14ac:dyDescent="0.25">
      <c r="P408" s="68"/>
      <c r="Q408" s="68"/>
      <c r="R408" s="68"/>
    </row>
    <row r="409" spans="16:18" x14ac:dyDescent="0.25">
      <c r="P409" s="68"/>
      <c r="Q409" s="68"/>
      <c r="R409" s="68"/>
    </row>
    <row r="410" spans="16:18" x14ac:dyDescent="0.25">
      <c r="P410" s="68"/>
      <c r="Q410" s="68"/>
      <c r="R410" s="68"/>
    </row>
    <row r="411" spans="16:18" x14ac:dyDescent="0.25">
      <c r="P411" s="68"/>
      <c r="Q411" s="68"/>
      <c r="R411" s="68"/>
    </row>
  </sheetData>
  <autoFilter ref="A1:S109"/>
  <pageMargins left="0.8" right="0.8" top="1" bottom="1" header="0.5" footer="0.5"/>
  <pageSetup scale="38" firstPageNumber="4294967295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"/>
  <sheetViews>
    <sheetView topLeftCell="I1" workbookViewId="0">
      <selection activeCell="P19" sqref="P19"/>
    </sheetView>
  </sheetViews>
  <sheetFormatPr defaultRowHeight="14.4" x14ac:dyDescent="0.3"/>
  <cols>
    <col min="1" max="1" width="11.44140625" customWidth="1"/>
    <col min="2" max="2" width="0.44140625" customWidth="1"/>
    <col min="3" max="3" width="52.5546875" customWidth="1"/>
    <col min="4" max="4" width="10.21875" customWidth="1"/>
    <col min="5" max="14" width="18.109375" customWidth="1"/>
    <col min="15" max="15" width="21.5546875" customWidth="1"/>
    <col min="16" max="16" width="22.109375" customWidth="1"/>
  </cols>
  <sheetData>
    <row r="1" spans="1:16 16383:16384" ht="15" thickBot="1" x14ac:dyDescent="0.35"/>
    <row r="2" spans="1:16 16383:16384" x14ac:dyDescent="0.3">
      <c r="A2" s="99"/>
      <c r="B2" s="113"/>
      <c r="C2" s="99"/>
      <c r="D2" s="99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2"/>
    </row>
    <row r="3" spans="1:16 16383:16384" ht="15" thickBot="1" x14ac:dyDescent="0.35">
      <c r="A3" s="539" t="s">
        <v>0</v>
      </c>
      <c r="B3" s="111"/>
      <c r="C3" s="529"/>
      <c r="D3" s="529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4"/>
    </row>
    <row r="4" spans="1:16 16383:16384" ht="15" thickBot="1" x14ac:dyDescent="0.35">
      <c r="A4" s="540"/>
      <c r="B4" s="112"/>
      <c r="C4" s="26" t="s">
        <v>1</v>
      </c>
      <c r="D4" s="532"/>
      <c r="E4" s="531">
        <v>42432</v>
      </c>
      <c r="F4" s="97">
        <v>42463</v>
      </c>
      <c r="G4" s="97">
        <v>42494</v>
      </c>
      <c r="H4" s="97">
        <v>42525</v>
      </c>
      <c r="I4" s="97">
        <v>42556</v>
      </c>
      <c r="J4" s="97">
        <v>42587</v>
      </c>
      <c r="K4" s="97">
        <v>42618</v>
      </c>
      <c r="L4" s="97">
        <v>42649</v>
      </c>
      <c r="M4" s="97">
        <v>42680</v>
      </c>
      <c r="N4" s="119">
        <v>42711</v>
      </c>
      <c r="O4" s="119">
        <f>N4+30</f>
        <v>42741</v>
      </c>
      <c r="P4" s="119">
        <f>O4+30</f>
        <v>42771</v>
      </c>
      <c r="XFC4" t="s">
        <v>13</v>
      </c>
      <c r="XFD4" s="27" t="s">
        <v>13</v>
      </c>
    </row>
    <row r="5" spans="1:16 16383:16384" x14ac:dyDescent="0.3">
      <c r="A5" s="87">
        <v>1</v>
      </c>
      <c r="B5" s="8"/>
      <c r="C5" s="88" t="s">
        <v>2</v>
      </c>
      <c r="D5" s="88"/>
      <c r="E5" s="106">
        <v>316423584.88999999</v>
      </c>
      <c r="F5" s="98">
        <v>316536150.98000008</v>
      </c>
      <c r="G5" s="106">
        <v>316118198.14000005</v>
      </c>
      <c r="H5" s="98">
        <v>316280168.42000008</v>
      </c>
      <c r="I5" s="100">
        <v>316286225.84000003</v>
      </c>
      <c r="J5" s="100">
        <v>316304243.73999995</v>
      </c>
      <c r="K5" s="121">
        <v>316322748.30000001</v>
      </c>
      <c r="L5" s="98">
        <v>315971334.69999999</v>
      </c>
      <c r="M5" s="106">
        <v>316083170.03000003</v>
      </c>
      <c r="N5" s="121">
        <v>316959541.99000001</v>
      </c>
      <c r="O5" s="98">
        <v>316561761</v>
      </c>
      <c r="P5" s="98">
        <v>326759496</v>
      </c>
    </row>
    <row r="6" spans="1:16 16383:16384" x14ac:dyDescent="0.3">
      <c r="A6" s="87">
        <f>A5+1</f>
        <v>2</v>
      </c>
      <c r="B6" s="8"/>
      <c r="C6" s="88" t="s">
        <v>3</v>
      </c>
      <c r="D6" s="88"/>
      <c r="E6" s="107">
        <v>38943091.850000009</v>
      </c>
      <c r="F6" s="29">
        <v>40532076.579999991</v>
      </c>
      <c r="G6" s="107">
        <v>42039012.919999987</v>
      </c>
      <c r="H6" s="29">
        <v>43551213.910000004</v>
      </c>
      <c r="I6" s="32">
        <v>45291051.380000003</v>
      </c>
      <c r="J6" s="32">
        <v>47047838.880000003</v>
      </c>
      <c r="K6" s="122">
        <v>48778372.729999997</v>
      </c>
      <c r="L6" s="29">
        <v>50641102.810000002</v>
      </c>
      <c r="M6" s="107">
        <v>52322799.980000004</v>
      </c>
      <c r="N6" s="122">
        <v>52496071.620000005</v>
      </c>
      <c r="O6" s="137">
        <v>56182644</v>
      </c>
      <c r="P6" s="137">
        <v>58149815</v>
      </c>
    </row>
    <row r="7" spans="1:16 16383:16384" x14ac:dyDescent="0.3">
      <c r="A7" s="87">
        <f t="shared" ref="A7:A23" si="0">A6+1</f>
        <v>3</v>
      </c>
      <c r="B7" s="8"/>
      <c r="C7" s="88" t="s">
        <v>4</v>
      </c>
      <c r="D7" s="88"/>
      <c r="E7" s="108">
        <v>49403957</v>
      </c>
      <c r="F7" s="89">
        <v>48787767</v>
      </c>
      <c r="G7" s="108">
        <v>46852159</v>
      </c>
      <c r="H7" s="89">
        <v>46981911</v>
      </c>
      <c r="I7" s="101">
        <v>46706048</v>
      </c>
      <c r="J7" s="101">
        <v>48260852</v>
      </c>
      <c r="K7" s="123">
        <v>47975478</v>
      </c>
      <c r="L7" s="89">
        <v>47645132</v>
      </c>
      <c r="M7" s="108">
        <v>47503019</v>
      </c>
      <c r="N7" s="123">
        <v>47821147</v>
      </c>
      <c r="O7" s="89">
        <v>46771514</v>
      </c>
      <c r="P7" s="89">
        <v>46526730</v>
      </c>
    </row>
    <row r="8" spans="1:16 16383:16384" x14ac:dyDescent="0.3">
      <c r="A8" s="87">
        <f t="shared" si="0"/>
        <v>4</v>
      </c>
      <c r="B8" s="8"/>
      <c r="C8" s="88" t="s">
        <v>5</v>
      </c>
      <c r="D8" s="88"/>
      <c r="E8" s="130">
        <f>E5-E6-E7</f>
        <v>228076536.03999996</v>
      </c>
      <c r="F8" s="130">
        <f t="shared" ref="F8:P8" si="1">F5-F6-F7</f>
        <v>227216307.4000001</v>
      </c>
      <c r="G8" s="130">
        <f t="shared" si="1"/>
        <v>227227026.22000003</v>
      </c>
      <c r="H8" s="130">
        <f t="shared" si="1"/>
        <v>225747043.51000005</v>
      </c>
      <c r="I8" s="130">
        <f t="shared" si="1"/>
        <v>224289126.46000004</v>
      </c>
      <c r="J8" s="130">
        <f t="shared" si="1"/>
        <v>220995552.85999995</v>
      </c>
      <c r="K8" s="130">
        <f t="shared" si="1"/>
        <v>219568897.57000002</v>
      </c>
      <c r="L8" s="130">
        <f t="shared" si="1"/>
        <v>217685099.88999999</v>
      </c>
      <c r="M8" s="130">
        <f t="shared" si="1"/>
        <v>216257351.05000001</v>
      </c>
      <c r="N8" s="130">
        <f t="shared" si="1"/>
        <v>216642323.37</v>
      </c>
      <c r="O8" s="90">
        <f t="shared" si="1"/>
        <v>213607603</v>
      </c>
      <c r="P8" s="90">
        <f t="shared" si="1"/>
        <v>222082951</v>
      </c>
    </row>
    <row r="9" spans="1:16 16383:16384" x14ac:dyDescent="0.3">
      <c r="A9" s="87">
        <f t="shared" si="0"/>
        <v>5</v>
      </c>
      <c r="B9" s="8"/>
      <c r="C9" s="88" t="s">
        <v>10</v>
      </c>
      <c r="D9" s="88"/>
      <c r="E9" s="47">
        <v>3705728</v>
      </c>
      <c r="F9" s="94">
        <v>4002377</v>
      </c>
      <c r="G9" s="47">
        <v>4297573</v>
      </c>
      <c r="H9" s="94">
        <v>4407355</v>
      </c>
      <c r="I9" s="47">
        <v>4134556</v>
      </c>
      <c r="J9" s="47">
        <v>4076762</v>
      </c>
      <c r="K9" s="47">
        <v>3898097</v>
      </c>
      <c r="L9" s="94">
        <v>3822694</v>
      </c>
      <c r="M9" s="47">
        <v>3952542</v>
      </c>
      <c r="N9" s="120">
        <v>4143484</v>
      </c>
      <c r="O9" s="94">
        <v>4217747</v>
      </c>
      <c r="P9" s="94">
        <v>4333801</v>
      </c>
    </row>
    <row r="10" spans="1:16 16383:16384" ht="15" thickBot="1" x14ac:dyDescent="0.35">
      <c r="A10" s="87">
        <f>A9+1</f>
        <v>6</v>
      </c>
      <c r="B10" s="4"/>
      <c r="C10" s="91" t="s">
        <v>11</v>
      </c>
      <c r="D10" s="533"/>
      <c r="E10" s="131">
        <f>SUM(E8:E9)</f>
        <v>231782264.03999996</v>
      </c>
      <c r="F10" s="118">
        <f>SUM(F8:F9)</f>
        <v>231218684.4000001</v>
      </c>
      <c r="G10" s="131">
        <f>SUM(G8:G9)</f>
        <v>231524599.22000003</v>
      </c>
      <c r="H10" s="118">
        <f>SUM(H8:H9)</f>
        <v>230154398.51000005</v>
      </c>
      <c r="I10" s="129">
        <f>SUM(I8:I9)</f>
        <v>228423682.46000004</v>
      </c>
      <c r="J10" s="118">
        <f>SUM(J8:J9)</f>
        <v>225072314.85999995</v>
      </c>
      <c r="K10" s="125">
        <f>SUM(K8:K9)</f>
        <v>223466994.57000002</v>
      </c>
      <c r="L10" s="118">
        <f>SUM(L8:L9)</f>
        <v>221507793.88999999</v>
      </c>
      <c r="M10" s="131">
        <f>SUM(M8:M9)</f>
        <v>220209893.05000001</v>
      </c>
      <c r="N10" s="125">
        <f>SUM(N8:N9)</f>
        <v>220785807.37</v>
      </c>
      <c r="O10" s="118">
        <f>SUM(O8:O9)</f>
        <v>217825350</v>
      </c>
      <c r="P10" s="118">
        <f>SUM(P8:P9)</f>
        <v>226416752</v>
      </c>
    </row>
    <row r="11" spans="1:16 16383:16384" ht="15" thickTop="1" x14ac:dyDescent="0.3">
      <c r="A11" s="87">
        <f t="shared" si="0"/>
        <v>7</v>
      </c>
      <c r="B11" s="8"/>
      <c r="C11" s="88" t="s">
        <v>12</v>
      </c>
      <c r="D11" s="534" t="s">
        <v>13</v>
      </c>
      <c r="E11" s="17"/>
      <c r="F11" s="88"/>
      <c r="G11" s="17"/>
      <c r="H11" s="88"/>
      <c r="I11" s="103"/>
      <c r="J11" s="103"/>
      <c r="K11" s="16"/>
      <c r="L11" s="88"/>
      <c r="M11" s="17"/>
      <c r="N11" s="16"/>
      <c r="O11" s="88"/>
      <c r="P11" s="88"/>
    </row>
    <row r="12" spans="1:16 16383:16384" x14ac:dyDescent="0.3">
      <c r="A12" s="87">
        <f t="shared" si="0"/>
        <v>8</v>
      </c>
      <c r="B12" s="8"/>
      <c r="C12" s="88" t="s">
        <v>14</v>
      </c>
      <c r="D12" s="88"/>
      <c r="E12" s="110">
        <v>7.2728333333333325E-3</v>
      </c>
      <c r="F12" s="93">
        <v>7.2976666666666667E-3</v>
      </c>
      <c r="G12" s="110">
        <v>7.2976666666666667E-3</v>
      </c>
      <c r="H12" s="93">
        <v>7.1102499999999994E-3</v>
      </c>
      <c r="I12" s="104">
        <v>6.4846666666666664E-3</v>
      </c>
      <c r="J12" s="104">
        <v>6.5901666666666669E-3</v>
      </c>
      <c r="K12" s="126">
        <v>6.8582499999999998E-3</v>
      </c>
      <c r="L12" s="93">
        <v>6.8941666666666665E-3</v>
      </c>
      <c r="M12" s="110">
        <v>7.2255833333333339E-3</v>
      </c>
      <c r="N12" s="126">
        <v>7.3147499999999992E-3</v>
      </c>
      <c r="O12" s="93">
        <f>0.0852/12</f>
        <v>7.0999999999999995E-3</v>
      </c>
      <c r="P12" s="134">
        <f>0.0886/12</f>
        <v>7.3833333333333329E-3</v>
      </c>
    </row>
    <row r="13" spans="1:16 16383:16384" x14ac:dyDescent="0.3">
      <c r="A13" s="87">
        <f t="shared" si="0"/>
        <v>9</v>
      </c>
      <c r="B13" s="8"/>
      <c r="C13" s="88" t="s">
        <v>15</v>
      </c>
      <c r="D13" s="88"/>
      <c r="E13" s="107">
        <f t="shared" ref="E13:P13" si="2">E10*E12</f>
        <v>1685713.7759855795</v>
      </c>
      <c r="F13" s="29">
        <f t="shared" si="2"/>
        <v>1687356.8858564007</v>
      </c>
      <c r="G13" s="107">
        <f t="shared" si="2"/>
        <v>1689589.3502411535</v>
      </c>
      <c r="H13" s="29">
        <f t="shared" si="2"/>
        <v>1636455.3120057278</v>
      </c>
      <c r="I13" s="32">
        <f t="shared" si="2"/>
        <v>1481251.4395256136</v>
      </c>
      <c r="J13" s="29">
        <f t="shared" si="2"/>
        <v>1483264.0669798765</v>
      </c>
      <c r="K13" s="122">
        <f t="shared" si="2"/>
        <v>1532592.5155097025</v>
      </c>
      <c r="L13" s="29">
        <f t="shared" si="2"/>
        <v>1527111.6490433081</v>
      </c>
      <c r="M13" s="107">
        <f t="shared" si="2"/>
        <v>1591144.933057196</v>
      </c>
      <c r="N13" s="122">
        <f t="shared" si="2"/>
        <v>1614992.9844597073</v>
      </c>
      <c r="O13" s="137">
        <v>1546088</v>
      </c>
      <c r="P13" s="137">
        <v>1671993</v>
      </c>
    </row>
    <row r="14" spans="1:16 16383:16384" x14ac:dyDescent="0.3">
      <c r="A14" s="87">
        <f t="shared" si="0"/>
        <v>10</v>
      </c>
      <c r="B14" s="8"/>
      <c r="C14" s="88" t="s">
        <v>108</v>
      </c>
      <c r="D14" s="88"/>
      <c r="E14" s="108">
        <v>482385</v>
      </c>
      <c r="F14" s="89">
        <v>1258566.8</v>
      </c>
      <c r="G14" s="108">
        <v>1567432.87</v>
      </c>
      <c r="H14" s="89">
        <v>2062649</v>
      </c>
      <c r="I14" s="101">
        <v>2044090</v>
      </c>
      <c r="J14" s="101">
        <v>1984393</v>
      </c>
      <c r="K14" s="123">
        <v>1635464</v>
      </c>
      <c r="L14" s="89">
        <v>1789403</v>
      </c>
      <c r="M14" s="108">
        <v>1897438.52</v>
      </c>
      <c r="N14" s="123">
        <v>1985822.14</v>
      </c>
      <c r="O14" s="89">
        <v>1808911</v>
      </c>
      <c r="P14" s="89">
        <v>1525794</v>
      </c>
    </row>
    <row r="15" spans="1:16 16383:16384" x14ac:dyDescent="0.3">
      <c r="A15" s="87">
        <f t="shared" si="0"/>
        <v>11</v>
      </c>
      <c r="B15" s="8"/>
      <c r="C15" s="88" t="s">
        <v>109</v>
      </c>
      <c r="D15" s="88"/>
      <c r="E15" s="108">
        <v>248535</v>
      </c>
      <c r="F15" s="89">
        <v>1007572.68</v>
      </c>
      <c r="G15" s="108">
        <v>724827.83</v>
      </c>
      <c r="H15" s="89">
        <v>1253450</v>
      </c>
      <c r="I15" s="101">
        <v>1487249</v>
      </c>
      <c r="J15" s="101">
        <v>1452677</v>
      </c>
      <c r="K15" s="123">
        <v>852402</v>
      </c>
      <c r="L15" s="89">
        <v>1268403</v>
      </c>
      <c r="M15" s="108">
        <v>1206427.8999999999</v>
      </c>
      <c r="N15" s="123">
        <v>1530630</v>
      </c>
      <c r="O15" s="89">
        <v>1220012</v>
      </c>
      <c r="P15" s="89">
        <v>1154247</v>
      </c>
    </row>
    <row r="16" spans="1:16 16383:16384" x14ac:dyDescent="0.3">
      <c r="A16" s="87">
        <f t="shared" si="0"/>
        <v>12</v>
      </c>
      <c r="B16" s="8"/>
      <c r="C16" s="88" t="s">
        <v>110</v>
      </c>
      <c r="D16" s="88"/>
      <c r="E16" s="107">
        <v>15625</v>
      </c>
      <c r="F16" s="29">
        <v>15625</v>
      </c>
      <c r="G16" s="107">
        <v>15625</v>
      </c>
      <c r="H16" s="29">
        <v>15625</v>
      </c>
      <c r="I16" s="32">
        <v>15625</v>
      </c>
      <c r="J16" s="32">
        <v>15625</v>
      </c>
      <c r="K16" s="122">
        <v>15625</v>
      </c>
      <c r="L16" s="29">
        <v>15625</v>
      </c>
      <c r="M16" s="107">
        <v>15625</v>
      </c>
      <c r="N16" s="122">
        <v>15625</v>
      </c>
      <c r="O16" s="137">
        <v>15625</v>
      </c>
      <c r="P16" s="137">
        <v>15625</v>
      </c>
    </row>
    <row r="17" spans="1:16" x14ac:dyDescent="0.3">
      <c r="A17" s="87">
        <v>13</v>
      </c>
      <c r="B17" s="8"/>
      <c r="C17" s="88" t="s">
        <v>111</v>
      </c>
      <c r="D17" s="88"/>
      <c r="E17" s="107">
        <v>0</v>
      </c>
      <c r="F17" s="29">
        <v>0</v>
      </c>
      <c r="G17" s="107">
        <v>0</v>
      </c>
      <c r="H17" s="29">
        <v>0</v>
      </c>
      <c r="I17" s="32">
        <v>0</v>
      </c>
      <c r="J17" s="32">
        <v>0</v>
      </c>
      <c r="K17" s="122">
        <v>0</v>
      </c>
      <c r="L17" s="29">
        <v>0</v>
      </c>
      <c r="M17" s="107">
        <v>0</v>
      </c>
      <c r="N17" s="122">
        <v>0</v>
      </c>
      <c r="O17" s="137">
        <v>0</v>
      </c>
      <c r="P17" s="137">
        <v>0</v>
      </c>
    </row>
    <row r="18" spans="1:16" ht="15" thickBot="1" x14ac:dyDescent="0.35">
      <c r="A18" s="87">
        <v>14</v>
      </c>
      <c r="B18" s="4"/>
      <c r="C18" s="91" t="s">
        <v>27</v>
      </c>
      <c r="D18" s="533"/>
      <c r="E18" s="109">
        <f t="shared" ref="E18:N18" si="3">SUM(E13:E17)</f>
        <v>2432258.7759855795</v>
      </c>
      <c r="F18" s="92">
        <f t="shared" si="3"/>
        <v>3969121.3658564012</v>
      </c>
      <c r="G18" s="109">
        <f t="shared" si="3"/>
        <v>3997475.0502411537</v>
      </c>
      <c r="H18" s="92">
        <f t="shared" si="3"/>
        <v>4968179.3120057276</v>
      </c>
      <c r="I18" s="102">
        <f t="shared" si="3"/>
        <v>5028215.4395256136</v>
      </c>
      <c r="J18" s="92">
        <f t="shared" si="3"/>
        <v>4935959.0669798767</v>
      </c>
      <c r="K18" s="127">
        <f t="shared" si="3"/>
        <v>4036083.5155097023</v>
      </c>
      <c r="L18" s="92">
        <f t="shared" si="3"/>
        <v>4600542.6490433086</v>
      </c>
      <c r="M18" s="109">
        <f t="shared" si="3"/>
        <v>4710636.3530571964</v>
      </c>
      <c r="N18" s="127">
        <f t="shared" si="3"/>
        <v>5147070.1244597072</v>
      </c>
      <c r="O18" s="92">
        <f t="shared" ref="O18:P18" si="4">SUM(O13:O17)</f>
        <v>4590636</v>
      </c>
      <c r="P18" s="92">
        <f t="shared" si="4"/>
        <v>4367659</v>
      </c>
    </row>
    <row r="19" spans="1:16" ht="15" thickTop="1" x14ac:dyDescent="0.3">
      <c r="A19" s="87">
        <v>15</v>
      </c>
      <c r="B19" s="8"/>
      <c r="C19" s="88" t="s">
        <v>112</v>
      </c>
      <c r="D19" s="88"/>
      <c r="E19" s="47">
        <v>64126</v>
      </c>
      <c r="F19" s="94">
        <v>106694.81999999999</v>
      </c>
      <c r="G19" s="47">
        <v>68940.61</v>
      </c>
      <c r="H19" s="94">
        <v>110273.24</v>
      </c>
      <c r="I19" s="105">
        <v>56597</v>
      </c>
      <c r="J19" s="105">
        <v>67957.59</v>
      </c>
      <c r="K19" s="120">
        <v>107189.81000000001</v>
      </c>
      <c r="L19" s="94">
        <v>52741</v>
      </c>
      <c r="M19" s="47">
        <v>47019</v>
      </c>
      <c r="N19" s="120">
        <v>142783.93000000002</v>
      </c>
      <c r="O19" s="94">
        <v>121911</v>
      </c>
      <c r="P19" s="94">
        <v>87894</v>
      </c>
    </row>
    <row r="20" spans="1:16" ht="15" thickBot="1" x14ac:dyDescent="0.35">
      <c r="A20" s="87">
        <f t="shared" si="0"/>
        <v>16</v>
      </c>
      <c r="B20" s="4"/>
      <c r="C20" s="91" t="s">
        <v>30</v>
      </c>
      <c r="D20" s="533"/>
      <c r="E20" s="109">
        <v>64126</v>
      </c>
      <c r="F20" s="92">
        <v>106694.81999999999</v>
      </c>
      <c r="G20" s="109">
        <v>68940.61</v>
      </c>
      <c r="H20" s="92">
        <v>110273.24</v>
      </c>
      <c r="I20" s="102">
        <v>56597</v>
      </c>
      <c r="J20" s="102">
        <v>67957.59</v>
      </c>
      <c r="K20" s="127">
        <v>107189.81000000001</v>
      </c>
      <c r="L20" s="92">
        <v>52741</v>
      </c>
      <c r="M20" s="109">
        <v>47019</v>
      </c>
      <c r="N20" s="127">
        <v>142783.93000000002</v>
      </c>
      <c r="O20" s="92">
        <f>O19</f>
        <v>121911</v>
      </c>
      <c r="P20" s="92">
        <f>P19</f>
        <v>87894</v>
      </c>
    </row>
    <row r="21" spans="1:16" ht="15" thickTop="1" x14ac:dyDescent="0.3">
      <c r="A21" s="87">
        <f t="shared" si="0"/>
        <v>17</v>
      </c>
      <c r="B21" s="8"/>
      <c r="C21" s="88" t="s">
        <v>31</v>
      </c>
      <c r="D21" s="88"/>
      <c r="E21" s="107">
        <f>(E5)*0.0352/12</f>
        <v>928175.84901066672</v>
      </c>
      <c r="F21" s="107">
        <f t="shared" ref="F21:P21" si="5">(F5)*0.0352/12</f>
        <v>928506.04287466698</v>
      </c>
      <c r="G21" s="107">
        <f t="shared" si="5"/>
        <v>927280.04787733359</v>
      </c>
      <c r="H21" s="107">
        <f t="shared" si="5"/>
        <v>927755.16069866705</v>
      </c>
      <c r="I21" s="107">
        <f t="shared" si="5"/>
        <v>927772.92913066689</v>
      </c>
      <c r="J21" s="107">
        <f t="shared" si="5"/>
        <v>927825.78163733322</v>
      </c>
      <c r="K21" s="107">
        <f t="shared" si="5"/>
        <v>927880.06168000016</v>
      </c>
      <c r="L21" s="107">
        <f t="shared" si="5"/>
        <v>926849.24845333339</v>
      </c>
      <c r="M21" s="107">
        <f t="shared" si="5"/>
        <v>927177.29875466682</v>
      </c>
      <c r="N21" s="107">
        <f t="shared" si="5"/>
        <v>929747.98983733344</v>
      </c>
      <c r="O21" s="137">
        <f t="shared" si="5"/>
        <v>928581.16560000007</v>
      </c>
      <c r="P21" s="137">
        <f t="shared" si="5"/>
        <v>958494.52160000009</v>
      </c>
    </row>
    <row r="22" spans="1:16" ht="15" thickBot="1" x14ac:dyDescent="0.35">
      <c r="A22" s="87">
        <f>A21+1</f>
        <v>18</v>
      </c>
      <c r="B22" s="4"/>
      <c r="C22" s="95" t="s">
        <v>34</v>
      </c>
      <c r="D22" s="533"/>
      <c r="E22" s="109">
        <f t="shared" ref="E22:N22" si="6">SUM(E21:E21)</f>
        <v>928175.84901066672</v>
      </c>
      <c r="F22" s="92">
        <f t="shared" si="6"/>
        <v>928506.04287466698</v>
      </c>
      <c r="G22" s="109">
        <f t="shared" si="6"/>
        <v>927280.04787733359</v>
      </c>
      <c r="H22" s="92">
        <f t="shared" si="6"/>
        <v>927755.16069866705</v>
      </c>
      <c r="I22" s="102">
        <f t="shared" si="6"/>
        <v>927772.92913066689</v>
      </c>
      <c r="J22" s="92">
        <f t="shared" si="6"/>
        <v>927825.78163733322</v>
      </c>
      <c r="K22" s="127">
        <f t="shared" si="6"/>
        <v>927880.06168000016</v>
      </c>
      <c r="L22" s="92">
        <f t="shared" si="6"/>
        <v>926849.24845333339</v>
      </c>
      <c r="M22" s="109">
        <f t="shared" si="6"/>
        <v>927177.29875466682</v>
      </c>
      <c r="N22" s="127">
        <f t="shared" si="6"/>
        <v>929747.98983733344</v>
      </c>
      <c r="O22" s="92">
        <f t="shared" ref="O22:P22" si="7">SUM(O21:O21)</f>
        <v>928581.16560000007</v>
      </c>
      <c r="P22" s="92">
        <f t="shared" si="7"/>
        <v>958494.52160000009</v>
      </c>
    </row>
    <row r="23" spans="1:16" ht="15" thickTop="1" x14ac:dyDescent="0.3">
      <c r="A23" s="87">
        <f t="shared" si="0"/>
        <v>19</v>
      </c>
      <c r="B23" s="4"/>
      <c r="C23" s="95" t="s">
        <v>35</v>
      </c>
      <c r="D23" s="533"/>
      <c r="E23" s="130">
        <f t="shared" ref="E23:N23" si="8">SUM(E18+E20+E22)</f>
        <v>3424560.6249962463</v>
      </c>
      <c r="F23" s="90">
        <f t="shared" si="8"/>
        <v>5004322.2287310679</v>
      </c>
      <c r="G23" s="130">
        <f t="shared" si="8"/>
        <v>4993695.7081184871</v>
      </c>
      <c r="H23" s="90">
        <f t="shared" si="8"/>
        <v>6006207.7127043949</v>
      </c>
      <c r="I23" s="128">
        <f t="shared" si="8"/>
        <v>6012585.3686562805</v>
      </c>
      <c r="J23" s="90">
        <f t="shared" si="8"/>
        <v>5931742.4386172099</v>
      </c>
      <c r="K23" s="124">
        <f t="shared" si="8"/>
        <v>5071153.3871897021</v>
      </c>
      <c r="L23" s="90">
        <f t="shared" si="8"/>
        <v>5580132.8974966416</v>
      </c>
      <c r="M23" s="130">
        <f t="shared" si="8"/>
        <v>5684832.6518118633</v>
      </c>
      <c r="N23" s="124">
        <f t="shared" si="8"/>
        <v>6219602.0442970404</v>
      </c>
      <c r="O23" s="90">
        <f t="shared" ref="O23:P23" si="9">SUM(O18+O20+O22)</f>
        <v>5641128.1655999999</v>
      </c>
      <c r="P23" s="90">
        <f t="shared" si="9"/>
        <v>5414047.5216000006</v>
      </c>
    </row>
    <row r="24" spans="1:16" s="44" customFormat="1" x14ac:dyDescent="0.3">
      <c r="A24" s="87"/>
      <c r="B24" s="4"/>
      <c r="C24" s="527" t="s">
        <v>1879</v>
      </c>
      <c r="D24" s="535"/>
      <c r="E24" s="499">
        <f>SUM(E14:E16)+E19+E21</f>
        <v>1738846.8490106668</v>
      </c>
      <c r="F24" s="499">
        <f t="shared" ref="F24:P24" si="10">SUM(F14:F16)+F19+F21</f>
        <v>3316965.3428746667</v>
      </c>
      <c r="G24" s="499">
        <f t="shared" si="10"/>
        <v>3304106.3578773336</v>
      </c>
      <c r="H24" s="499">
        <f t="shared" si="10"/>
        <v>4369752.4006986674</v>
      </c>
      <c r="I24" s="499">
        <f t="shared" si="10"/>
        <v>4531333.9291306669</v>
      </c>
      <c r="J24" s="499">
        <f t="shared" si="10"/>
        <v>4448478.3716373332</v>
      </c>
      <c r="K24" s="499">
        <f t="shared" si="10"/>
        <v>3538560.8716800003</v>
      </c>
      <c r="L24" s="499">
        <f t="shared" si="10"/>
        <v>4053021.2484533335</v>
      </c>
      <c r="M24" s="499">
        <f t="shared" si="10"/>
        <v>4093687.7187546669</v>
      </c>
      <c r="N24" s="499">
        <f t="shared" si="10"/>
        <v>4604609.0598373329</v>
      </c>
      <c r="O24" s="499">
        <f t="shared" si="10"/>
        <v>4095040.1655999999</v>
      </c>
      <c r="P24" s="499">
        <f t="shared" si="10"/>
        <v>3742054.5216000001</v>
      </c>
    </row>
    <row r="25" spans="1:16" s="44" customFormat="1" ht="15" thickBot="1" x14ac:dyDescent="0.35">
      <c r="A25" s="87"/>
      <c r="B25" s="4"/>
      <c r="C25" s="530" t="s">
        <v>1880</v>
      </c>
      <c r="D25" s="536">
        <f>'3.15 '!O42-1</f>
        <v>5.4250000000000131E-3</v>
      </c>
      <c r="E25" s="524">
        <f>ROUND(E24*$D$25,0)</f>
        <v>9433</v>
      </c>
      <c r="F25" s="524">
        <f t="shared" ref="F25:P25" si="11">ROUND(F24*$D$25,0)</f>
        <v>17995</v>
      </c>
      <c r="G25" s="524">
        <f t="shared" si="11"/>
        <v>17925</v>
      </c>
      <c r="H25" s="524">
        <f t="shared" si="11"/>
        <v>23706</v>
      </c>
      <c r="I25" s="524">
        <f t="shared" si="11"/>
        <v>24582</v>
      </c>
      <c r="J25" s="524">
        <f t="shared" si="11"/>
        <v>24133</v>
      </c>
      <c r="K25" s="524">
        <f t="shared" si="11"/>
        <v>19197</v>
      </c>
      <c r="L25" s="524">
        <f t="shared" si="11"/>
        <v>21988</v>
      </c>
      <c r="M25" s="524">
        <f t="shared" si="11"/>
        <v>22208</v>
      </c>
      <c r="N25" s="524">
        <f t="shared" si="11"/>
        <v>24980</v>
      </c>
      <c r="O25" s="524">
        <f t="shared" si="11"/>
        <v>22216</v>
      </c>
      <c r="P25" s="524">
        <f t="shared" si="11"/>
        <v>20301</v>
      </c>
    </row>
    <row r="26" spans="1:16" x14ac:dyDescent="0.3">
      <c r="A26" s="87">
        <f>A23+1</f>
        <v>20</v>
      </c>
      <c r="B26" s="4"/>
      <c r="C26" s="527" t="s">
        <v>1881</v>
      </c>
      <c r="D26" s="528">
        <v>0.15</v>
      </c>
      <c r="E26" s="499">
        <f>ROUND(E25*0.15,0)</f>
        <v>1415</v>
      </c>
      <c r="F26" s="499">
        <f t="shared" ref="F26:P26" si="12">ROUND(F25*0.15,0)</f>
        <v>2699</v>
      </c>
      <c r="G26" s="499">
        <f t="shared" si="12"/>
        <v>2689</v>
      </c>
      <c r="H26" s="499">
        <f t="shared" si="12"/>
        <v>3556</v>
      </c>
      <c r="I26" s="499">
        <f t="shared" si="12"/>
        <v>3687</v>
      </c>
      <c r="J26" s="499">
        <f t="shared" si="12"/>
        <v>3620</v>
      </c>
      <c r="K26" s="499">
        <f t="shared" si="12"/>
        <v>2880</v>
      </c>
      <c r="L26" s="499">
        <f t="shared" si="12"/>
        <v>3298</v>
      </c>
      <c r="M26" s="499">
        <f t="shared" si="12"/>
        <v>3331</v>
      </c>
      <c r="N26" s="499">
        <f t="shared" si="12"/>
        <v>3747</v>
      </c>
      <c r="O26" s="499">
        <f t="shared" si="12"/>
        <v>3332</v>
      </c>
      <c r="P26" s="499">
        <f t="shared" si="12"/>
        <v>3045</v>
      </c>
    </row>
    <row r="27" spans="1:16" ht="15" thickBot="1" x14ac:dyDescent="0.35">
      <c r="A27" s="96"/>
      <c r="B27" s="8"/>
      <c r="C27" s="522" t="s">
        <v>1882</v>
      </c>
      <c r="D27" s="537"/>
      <c r="E27" s="538">
        <f>E24+E26</f>
        <v>1740261.8490106668</v>
      </c>
      <c r="F27" s="538">
        <f t="shared" ref="F27:P27" si="13">F24+F26</f>
        <v>3319664.3428746667</v>
      </c>
      <c r="G27" s="538">
        <f t="shared" si="13"/>
        <v>3306795.3578773336</v>
      </c>
      <c r="H27" s="538">
        <f t="shared" si="13"/>
        <v>4373308.4006986674</v>
      </c>
      <c r="I27" s="538">
        <f t="shared" si="13"/>
        <v>4535020.9291306669</v>
      </c>
      <c r="J27" s="538">
        <f t="shared" si="13"/>
        <v>4452098.3716373332</v>
      </c>
      <c r="K27" s="538">
        <f t="shared" si="13"/>
        <v>3541440.8716800003</v>
      </c>
      <c r="L27" s="538">
        <f t="shared" si="13"/>
        <v>4056319.2484533335</v>
      </c>
      <c r="M27" s="538">
        <f t="shared" si="13"/>
        <v>4097018.7187546669</v>
      </c>
      <c r="N27" s="538">
        <f t="shared" si="13"/>
        <v>4608356.0598373329</v>
      </c>
      <c r="O27" s="538">
        <f t="shared" si="13"/>
        <v>4098372.1655999999</v>
      </c>
      <c r="P27" s="538">
        <f t="shared" si="13"/>
        <v>3745099.5216000001</v>
      </c>
    </row>
    <row r="29" spans="1:16" x14ac:dyDescent="0.3"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6" x14ac:dyDescent="0.3">
      <c r="E31" s="40"/>
      <c r="F31" s="40"/>
      <c r="G31" s="40"/>
      <c r="H31" s="40"/>
      <c r="I31" s="40"/>
      <c r="J31" s="40"/>
      <c r="K31" s="40"/>
      <c r="L31" s="40"/>
      <c r="M31" s="40"/>
      <c r="N31" s="40"/>
    </row>
  </sheetData>
  <mergeCells count="2">
    <mergeCell ref="A3:A4"/>
    <mergeCell ref="E2:P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opLeftCell="C1" zoomScale="80" zoomScaleNormal="80" workbookViewId="0">
      <pane xSplit="2" ySplit="4" topLeftCell="H14" activePane="bottomRight" state="frozen"/>
      <selection activeCell="C1" sqref="C1"/>
      <selection pane="topRight" activeCell="E1" sqref="E1"/>
      <selection pane="bottomLeft" activeCell="C5" sqref="C5"/>
      <selection pane="bottomRight" activeCell="P37" sqref="P37"/>
    </sheetView>
  </sheetViews>
  <sheetFormatPr defaultRowHeight="14.4" x14ac:dyDescent="0.3"/>
  <cols>
    <col min="1" max="1" width="5.33203125" customWidth="1"/>
    <col min="2" max="2" width="0.33203125" customWidth="1"/>
    <col min="3" max="3" width="52.33203125" customWidth="1"/>
    <col min="4" max="4" width="15.5546875" customWidth="1"/>
    <col min="5" max="14" width="18.109375" customWidth="1"/>
    <col min="15" max="16" width="18.109375" style="44" customWidth="1"/>
    <col min="17" max="17" width="12.33203125" bestFit="1" customWidth="1"/>
  </cols>
  <sheetData>
    <row r="1" spans="1:19" ht="15" thickBot="1" x14ac:dyDescent="0.35"/>
    <row r="2" spans="1:19" ht="15.75" customHeight="1" thickBot="1" x14ac:dyDescent="0.35">
      <c r="A2" s="545" t="s">
        <v>0</v>
      </c>
      <c r="B2" s="509"/>
      <c r="C2" s="2"/>
      <c r="D2" s="3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2"/>
    </row>
    <row r="3" spans="1:19" ht="15" thickBot="1" x14ac:dyDescent="0.35">
      <c r="A3" s="539"/>
      <c r="B3" s="4"/>
      <c r="C3" s="5" t="s">
        <v>1</v>
      </c>
      <c r="D3" s="6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4"/>
    </row>
    <row r="4" spans="1:19" ht="15" thickBot="1" x14ac:dyDescent="0.35">
      <c r="A4" s="7"/>
      <c r="B4" s="8"/>
      <c r="C4" s="9"/>
      <c r="D4" s="10"/>
      <c r="E4" s="526">
        <v>42432</v>
      </c>
      <c r="F4" s="380">
        <v>42463</v>
      </c>
      <c r="G4" s="379">
        <v>42494</v>
      </c>
      <c r="H4" s="380">
        <v>42525</v>
      </c>
      <c r="I4" s="379">
        <v>42556</v>
      </c>
      <c r="J4" s="380">
        <v>42587</v>
      </c>
      <c r="K4" s="379">
        <v>42618</v>
      </c>
      <c r="L4" s="380">
        <v>42649</v>
      </c>
      <c r="M4" s="379">
        <v>42680</v>
      </c>
      <c r="N4" s="380">
        <v>42711</v>
      </c>
      <c r="O4" s="379">
        <f>N4+30</f>
        <v>42741</v>
      </c>
      <c r="P4" s="510">
        <f>O4+30</f>
        <v>42771</v>
      </c>
    </row>
    <row r="5" spans="1:19" x14ac:dyDescent="0.3">
      <c r="A5" s="12">
        <v>1</v>
      </c>
      <c r="B5" s="8"/>
      <c r="C5" s="9" t="s">
        <v>2</v>
      </c>
      <c r="D5" s="10"/>
      <c r="E5" s="361">
        <v>376324108.02500004</v>
      </c>
      <c r="F5" s="364">
        <v>376396768.27500004</v>
      </c>
      <c r="G5" s="363">
        <v>376422253.10500002</v>
      </c>
      <c r="H5" s="381">
        <v>376452968.90500003</v>
      </c>
      <c r="I5" s="363">
        <v>377742431.56500006</v>
      </c>
      <c r="J5" s="381">
        <v>377766608.17500007</v>
      </c>
      <c r="K5" s="363">
        <v>377776401.68500006</v>
      </c>
      <c r="L5" s="381">
        <v>368508175.94500017</v>
      </c>
      <c r="M5" s="363">
        <v>368508175.94500017</v>
      </c>
      <c r="N5" s="381">
        <v>368510642.5150001</v>
      </c>
      <c r="O5" s="363">
        <v>368515537</v>
      </c>
      <c r="P5" s="511">
        <v>369649687</v>
      </c>
    </row>
    <row r="6" spans="1:19" ht="15.75" customHeight="1" x14ac:dyDescent="0.3">
      <c r="A6" s="12">
        <f>A5+1</f>
        <v>2</v>
      </c>
      <c r="B6" s="8"/>
      <c r="C6" s="9" t="s">
        <v>3</v>
      </c>
      <c r="D6" s="10"/>
      <c r="E6" s="14">
        <v>83139850.530000001</v>
      </c>
      <c r="F6" s="30">
        <v>84202634.239999965</v>
      </c>
      <c r="G6" s="14">
        <v>85034351.950000018</v>
      </c>
      <c r="H6" s="30">
        <v>84217749.830000013</v>
      </c>
      <c r="I6" s="14">
        <v>85201251.100000024</v>
      </c>
      <c r="J6" s="30">
        <v>86296698.359999999</v>
      </c>
      <c r="K6" s="14">
        <v>84840566.73999998</v>
      </c>
      <c r="L6" s="30">
        <v>85697886.529999986</v>
      </c>
      <c r="M6" s="14">
        <v>87521673.459999979</v>
      </c>
      <c r="N6" s="30">
        <v>88572676.970000014</v>
      </c>
      <c r="O6" s="14">
        <v>89562485</v>
      </c>
      <c r="P6" s="36">
        <v>90670790</v>
      </c>
    </row>
    <row r="7" spans="1:19" x14ac:dyDescent="0.3">
      <c r="A7" s="15">
        <f t="shared" ref="A7:A37" si="0">A6+1</f>
        <v>3</v>
      </c>
      <c r="B7" s="8"/>
      <c r="C7" s="16" t="s">
        <v>4</v>
      </c>
      <c r="D7" s="17"/>
      <c r="E7" s="28">
        <v>41264734</v>
      </c>
      <c r="F7" s="365">
        <v>41343801</v>
      </c>
      <c r="G7" s="28">
        <v>41105851</v>
      </c>
      <c r="H7" s="365">
        <v>42368972</v>
      </c>
      <c r="I7" s="28">
        <v>42447920</v>
      </c>
      <c r="J7" s="365">
        <v>42524049</v>
      </c>
      <c r="K7" s="28">
        <v>43492573</v>
      </c>
      <c r="L7" s="365">
        <v>43649423</v>
      </c>
      <c r="M7" s="28">
        <v>43461481</v>
      </c>
      <c r="N7" s="365">
        <v>43563402</v>
      </c>
      <c r="O7" s="28">
        <v>43113008</v>
      </c>
      <c r="P7" s="512">
        <v>43749527</v>
      </c>
    </row>
    <row r="8" spans="1:19" ht="15" thickBot="1" x14ac:dyDescent="0.35">
      <c r="A8" s="12">
        <f t="shared" si="0"/>
        <v>4</v>
      </c>
      <c r="B8" s="8"/>
      <c r="C8" s="9" t="s">
        <v>5</v>
      </c>
      <c r="D8" s="10"/>
      <c r="E8" s="18">
        <f>E5-E6-E7</f>
        <v>251919523.495</v>
      </c>
      <c r="F8" s="18">
        <f t="shared" ref="F8:P8" si="1">F5-F6-F7</f>
        <v>250850333.03500009</v>
      </c>
      <c r="G8" s="18">
        <f t="shared" si="1"/>
        <v>250282050.15499997</v>
      </c>
      <c r="H8" s="18">
        <f t="shared" si="1"/>
        <v>249866247.07500005</v>
      </c>
      <c r="I8" s="18">
        <f t="shared" si="1"/>
        <v>250093260.46500003</v>
      </c>
      <c r="J8" s="18">
        <f t="shared" si="1"/>
        <v>248945860.81500006</v>
      </c>
      <c r="K8" s="18">
        <f t="shared" si="1"/>
        <v>249443261.94500005</v>
      </c>
      <c r="L8" s="18">
        <f t="shared" si="1"/>
        <v>239160866.4150002</v>
      </c>
      <c r="M8" s="18">
        <f t="shared" si="1"/>
        <v>237525021.48500019</v>
      </c>
      <c r="N8" s="18">
        <f t="shared" si="1"/>
        <v>236374563.54500008</v>
      </c>
      <c r="O8" s="18">
        <f t="shared" si="1"/>
        <v>235840044</v>
      </c>
      <c r="P8" s="18">
        <f t="shared" si="1"/>
        <v>235229370</v>
      </c>
    </row>
    <row r="9" spans="1:19" ht="18.75" customHeight="1" thickTop="1" x14ac:dyDescent="0.3">
      <c r="A9" s="12">
        <f>A8+1</f>
        <v>5</v>
      </c>
      <c r="B9" s="8"/>
      <c r="C9" s="9" t="s">
        <v>6</v>
      </c>
      <c r="D9" s="10"/>
      <c r="E9" s="14">
        <v>9737436</v>
      </c>
      <c r="F9" s="30">
        <v>9706726</v>
      </c>
      <c r="G9" s="14">
        <v>9681906</v>
      </c>
      <c r="H9" s="30">
        <v>9641591</v>
      </c>
      <c r="I9" s="14">
        <v>9600434</v>
      </c>
      <c r="J9" s="30">
        <v>9550864</v>
      </c>
      <c r="K9" s="14">
        <v>9524922</v>
      </c>
      <c r="L9" s="30">
        <v>9501433.9700000007</v>
      </c>
      <c r="M9" s="14">
        <v>9461960</v>
      </c>
      <c r="N9" s="30">
        <v>9419471</v>
      </c>
      <c r="O9" s="14">
        <v>9390687</v>
      </c>
      <c r="P9" s="36">
        <v>9370786</v>
      </c>
    </row>
    <row r="10" spans="1:19" x14ac:dyDescent="0.3">
      <c r="A10" s="12">
        <f>A9+1</f>
        <v>6</v>
      </c>
      <c r="B10" s="8"/>
      <c r="C10" s="9" t="s">
        <v>7</v>
      </c>
      <c r="D10" s="10"/>
      <c r="E10" s="14">
        <v>41261</v>
      </c>
      <c r="F10" s="30">
        <v>40730</v>
      </c>
      <c r="G10" s="14">
        <v>40300</v>
      </c>
      <c r="H10" s="30">
        <v>39607</v>
      </c>
      <c r="I10" s="14">
        <v>38890</v>
      </c>
      <c r="J10" s="30">
        <v>38032</v>
      </c>
      <c r="K10" s="14">
        <v>35156</v>
      </c>
      <c r="L10" s="30">
        <v>34748</v>
      </c>
      <c r="M10" s="14">
        <v>34066</v>
      </c>
      <c r="N10" s="30">
        <v>33329</v>
      </c>
      <c r="O10" s="14">
        <v>32967</v>
      </c>
      <c r="P10" s="36">
        <v>32713</v>
      </c>
    </row>
    <row r="11" spans="1:19" x14ac:dyDescent="0.3">
      <c r="A11" s="12">
        <f t="shared" si="0"/>
        <v>7</v>
      </c>
      <c r="B11" s="8"/>
      <c r="C11" s="9" t="s">
        <v>8</v>
      </c>
      <c r="D11" s="10"/>
      <c r="E11" s="14">
        <v>0</v>
      </c>
      <c r="F11" s="30">
        <v>0</v>
      </c>
      <c r="G11" s="14">
        <v>0</v>
      </c>
      <c r="H11" s="30">
        <v>0</v>
      </c>
      <c r="I11" s="14">
        <v>0</v>
      </c>
      <c r="J11" s="30">
        <v>0</v>
      </c>
      <c r="K11" s="14">
        <v>0</v>
      </c>
      <c r="L11" s="30">
        <v>0</v>
      </c>
      <c r="M11" s="14">
        <v>0</v>
      </c>
      <c r="N11" s="30">
        <v>0</v>
      </c>
      <c r="O11" s="14">
        <v>0</v>
      </c>
      <c r="P11" s="36">
        <v>0</v>
      </c>
      <c r="Q11" s="360"/>
      <c r="R11" s="360"/>
      <c r="S11" s="360"/>
    </row>
    <row r="12" spans="1:19" x14ac:dyDescent="0.3">
      <c r="A12" s="12">
        <v>8</v>
      </c>
      <c r="B12" s="8"/>
      <c r="C12" s="9" t="s">
        <v>9</v>
      </c>
      <c r="D12" s="10"/>
      <c r="E12" s="14">
        <v>0</v>
      </c>
      <c r="F12" s="30">
        <v>0</v>
      </c>
      <c r="G12" s="14">
        <v>0</v>
      </c>
      <c r="H12" s="30">
        <v>0</v>
      </c>
      <c r="I12" s="14">
        <v>0</v>
      </c>
      <c r="J12" s="30">
        <v>0</v>
      </c>
      <c r="K12" s="14">
        <v>0</v>
      </c>
      <c r="L12" s="30">
        <v>0</v>
      </c>
      <c r="M12" s="14">
        <v>0</v>
      </c>
      <c r="N12" s="30">
        <v>0</v>
      </c>
      <c r="O12" s="14">
        <v>0</v>
      </c>
      <c r="P12" s="36">
        <v>0</v>
      </c>
      <c r="Q12" s="360"/>
      <c r="R12" s="360"/>
      <c r="S12" s="360"/>
    </row>
    <row r="13" spans="1:19" x14ac:dyDescent="0.3">
      <c r="A13" s="12">
        <f>A12+1</f>
        <v>9</v>
      </c>
      <c r="B13" s="8"/>
      <c r="C13" s="9" t="s">
        <v>10</v>
      </c>
      <c r="D13" s="10"/>
      <c r="E13" s="19">
        <v>515815</v>
      </c>
      <c r="F13" s="35">
        <v>533044</v>
      </c>
      <c r="G13" s="19">
        <v>527484</v>
      </c>
      <c r="H13" s="19">
        <v>504338</v>
      </c>
      <c r="I13" s="19">
        <v>501358</v>
      </c>
      <c r="J13" s="19">
        <v>506913</v>
      </c>
      <c r="K13" s="19">
        <v>535340</v>
      </c>
      <c r="L13" s="19">
        <v>555133</v>
      </c>
      <c r="M13" s="19">
        <v>602226</v>
      </c>
      <c r="N13" s="35">
        <v>406191</v>
      </c>
      <c r="O13" s="35">
        <v>390827</v>
      </c>
      <c r="P13" s="35">
        <v>367529</v>
      </c>
      <c r="Q13" s="360"/>
      <c r="R13" s="360"/>
      <c r="S13" s="360"/>
    </row>
    <row r="14" spans="1:19" ht="15" thickBot="1" x14ac:dyDescent="0.35">
      <c r="A14" s="12">
        <f t="shared" si="0"/>
        <v>10</v>
      </c>
      <c r="B14" s="4"/>
      <c r="C14" s="20" t="s">
        <v>11</v>
      </c>
      <c r="D14" s="6"/>
      <c r="E14" s="18">
        <f t="shared" ref="E14:P14" si="2">SUM(E9:E13)+E8</f>
        <v>262214035.495</v>
      </c>
      <c r="F14" s="18">
        <f t="shared" si="2"/>
        <v>261130833.03500009</v>
      </c>
      <c r="G14" s="18">
        <f t="shared" si="2"/>
        <v>260531740.15499997</v>
      </c>
      <c r="H14" s="18">
        <f t="shared" si="2"/>
        <v>260051783.07500005</v>
      </c>
      <c r="I14" s="18">
        <f t="shared" si="2"/>
        <v>260233942.46500003</v>
      </c>
      <c r="J14" s="18">
        <f t="shared" si="2"/>
        <v>259041669.81500006</v>
      </c>
      <c r="K14" s="18">
        <f t="shared" si="2"/>
        <v>259538679.94500005</v>
      </c>
      <c r="L14" s="18">
        <f t="shared" si="2"/>
        <v>249252181.3850002</v>
      </c>
      <c r="M14" s="18">
        <f t="shared" si="2"/>
        <v>247623273.48500019</v>
      </c>
      <c r="N14" s="18">
        <f t="shared" si="2"/>
        <v>246233554.54500008</v>
      </c>
      <c r="O14" s="18">
        <f t="shared" si="2"/>
        <v>245654525</v>
      </c>
      <c r="P14" s="18">
        <f t="shared" si="2"/>
        <v>245000398</v>
      </c>
    </row>
    <row r="15" spans="1:19" ht="15" thickTop="1" x14ac:dyDescent="0.3">
      <c r="A15" s="12">
        <f t="shared" si="0"/>
        <v>11</v>
      </c>
      <c r="B15" s="8"/>
      <c r="C15" s="9" t="s">
        <v>12</v>
      </c>
      <c r="D15" s="21">
        <v>0.10128</v>
      </c>
      <c r="E15" s="11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375"/>
    </row>
    <row r="16" spans="1:19" x14ac:dyDescent="0.3">
      <c r="A16" s="12">
        <f t="shared" si="0"/>
        <v>12</v>
      </c>
      <c r="B16" s="8"/>
      <c r="C16" s="9" t="s">
        <v>14</v>
      </c>
      <c r="D16" s="10"/>
      <c r="E16" s="22">
        <f>$D$15/12</f>
        <v>8.4399999999999996E-3</v>
      </c>
      <c r="F16" s="22">
        <f t="shared" ref="F16:P16" si="3">ROUND($D$15/12,6)</f>
        <v>8.4399999999999996E-3</v>
      </c>
      <c r="G16" s="22">
        <f t="shared" si="3"/>
        <v>8.4399999999999996E-3</v>
      </c>
      <c r="H16" s="22">
        <f t="shared" si="3"/>
        <v>8.4399999999999996E-3</v>
      </c>
      <c r="I16" s="22">
        <f t="shared" si="3"/>
        <v>8.4399999999999996E-3</v>
      </c>
      <c r="J16" s="22">
        <f t="shared" si="3"/>
        <v>8.4399999999999996E-3</v>
      </c>
      <c r="K16" s="22">
        <f t="shared" si="3"/>
        <v>8.4399999999999996E-3</v>
      </c>
      <c r="L16" s="22">
        <f t="shared" si="3"/>
        <v>8.4399999999999996E-3</v>
      </c>
      <c r="M16" s="22">
        <f t="shared" si="3"/>
        <v>8.4399999999999996E-3</v>
      </c>
      <c r="N16" s="22">
        <f t="shared" si="3"/>
        <v>8.4399999999999996E-3</v>
      </c>
      <c r="O16" s="22">
        <f t="shared" si="3"/>
        <v>8.4399999999999996E-3</v>
      </c>
      <c r="P16" s="22">
        <f t="shared" si="3"/>
        <v>8.4399999999999996E-3</v>
      </c>
    </row>
    <row r="17" spans="1:16" x14ac:dyDescent="0.3">
      <c r="A17" s="12">
        <f t="shared" si="0"/>
        <v>13</v>
      </c>
      <c r="B17" s="8"/>
      <c r="C17" s="9" t="s">
        <v>15</v>
      </c>
      <c r="D17" s="10"/>
      <c r="E17" s="14">
        <f t="shared" ref="E17:N17" si="4">ROUND(E14*E16,2)</f>
        <v>2213086.46</v>
      </c>
      <c r="F17" s="30">
        <f t="shared" si="4"/>
        <v>2203944.23</v>
      </c>
      <c r="G17" s="14">
        <f t="shared" si="4"/>
        <v>2198887.89</v>
      </c>
      <c r="H17" s="30">
        <f t="shared" si="4"/>
        <v>2194837.0499999998</v>
      </c>
      <c r="I17" s="14">
        <f t="shared" si="4"/>
        <v>2196374.4700000002</v>
      </c>
      <c r="J17" s="30">
        <f t="shared" si="4"/>
        <v>2186311.69</v>
      </c>
      <c r="K17" s="14">
        <f t="shared" si="4"/>
        <v>2190506.46</v>
      </c>
      <c r="L17" s="30">
        <f t="shared" si="4"/>
        <v>2103688.41</v>
      </c>
      <c r="M17" s="14">
        <f t="shared" si="4"/>
        <v>2089940.43</v>
      </c>
      <c r="N17" s="30">
        <f t="shared" si="4"/>
        <v>2078211.2</v>
      </c>
      <c r="O17" s="14">
        <f t="shared" ref="O17:P17" si="5">ROUND(O14*O16,2)</f>
        <v>2073324.19</v>
      </c>
      <c r="P17" s="36">
        <f t="shared" si="5"/>
        <v>2067803.36</v>
      </c>
    </row>
    <row r="18" spans="1:16" x14ac:dyDescent="0.3">
      <c r="A18" s="12">
        <f t="shared" si="0"/>
        <v>14</v>
      </c>
      <c r="B18" s="8"/>
      <c r="C18" s="9" t="s">
        <v>16</v>
      </c>
      <c r="D18" s="10"/>
      <c r="E18" s="23">
        <v>0</v>
      </c>
      <c r="F18" s="369">
        <v>0</v>
      </c>
      <c r="G18" s="23">
        <v>0</v>
      </c>
      <c r="H18" s="369">
        <v>0</v>
      </c>
      <c r="I18" s="23">
        <v>0</v>
      </c>
      <c r="J18" s="369">
        <v>0</v>
      </c>
      <c r="K18" s="23">
        <v>0</v>
      </c>
      <c r="L18" s="369">
        <v>0</v>
      </c>
      <c r="M18" s="23">
        <v>0</v>
      </c>
      <c r="N18" s="369">
        <v>0</v>
      </c>
      <c r="O18" s="23">
        <v>0</v>
      </c>
      <c r="P18" s="376">
        <v>0</v>
      </c>
    </row>
    <row r="19" spans="1:16" x14ac:dyDescent="0.3">
      <c r="A19" s="12">
        <f t="shared" si="0"/>
        <v>15</v>
      </c>
      <c r="B19" s="8"/>
      <c r="C19" s="9" t="s">
        <v>17</v>
      </c>
      <c r="D19" s="10"/>
      <c r="E19" s="14">
        <v>100904</v>
      </c>
      <c r="F19" s="30">
        <v>77335.319999999963</v>
      </c>
      <c r="G19" s="14">
        <v>61105</v>
      </c>
      <c r="H19" s="30">
        <v>93808</v>
      </c>
      <c r="I19" s="14">
        <v>126801</v>
      </c>
      <c r="J19" s="30">
        <v>110596</v>
      </c>
      <c r="K19" s="14">
        <v>83786</v>
      </c>
      <c r="L19" s="30">
        <v>32059</v>
      </c>
      <c r="M19" s="14">
        <v>156164.52999999997</v>
      </c>
      <c r="N19" s="30">
        <v>118387</v>
      </c>
      <c r="O19" s="14">
        <v>66904</v>
      </c>
      <c r="P19" s="36">
        <v>29357</v>
      </c>
    </row>
    <row r="20" spans="1:16" x14ac:dyDescent="0.3">
      <c r="A20" s="12">
        <f t="shared" si="0"/>
        <v>16</v>
      </c>
      <c r="B20" s="8"/>
      <c r="C20" s="9" t="s">
        <v>18</v>
      </c>
      <c r="D20" s="10"/>
      <c r="E20" s="14">
        <v>42031</v>
      </c>
      <c r="F20" s="30">
        <v>18349.390000000003</v>
      </c>
      <c r="G20" s="14">
        <v>14615</v>
      </c>
      <c r="H20" s="30">
        <v>30551</v>
      </c>
      <c r="I20" s="14">
        <v>35046</v>
      </c>
      <c r="J20" s="30">
        <v>48658</v>
      </c>
      <c r="K20" s="14">
        <v>47049</v>
      </c>
      <c r="L20" s="30">
        <v>8932</v>
      </c>
      <c r="M20" s="14">
        <v>28921.690000000006</v>
      </c>
      <c r="N20" s="30">
        <v>24166</v>
      </c>
      <c r="O20" s="14">
        <v>29701</v>
      </c>
      <c r="P20" s="36">
        <v>23837</v>
      </c>
    </row>
    <row r="21" spans="1:16" x14ac:dyDescent="0.3">
      <c r="A21" s="12">
        <f t="shared" si="0"/>
        <v>17</v>
      </c>
      <c r="B21" s="8"/>
      <c r="C21" s="9" t="s">
        <v>19</v>
      </c>
      <c r="D21" s="10"/>
      <c r="E21" s="23">
        <v>0</v>
      </c>
      <c r="F21" s="369">
        <v>0</v>
      </c>
      <c r="G21" s="23">
        <v>0</v>
      </c>
      <c r="H21" s="369">
        <v>0</v>
      </c>
      <c r="I21" s="23">
        <v>0</v>
      </c>
      <c r="J21" s="369">
        <v>0</v>
      </c>
      <c r="K21" s="23">
        <v>0</v>
      </c>
      <c r="L21" s="369">
        <v>0</v>
      </c>
      <c r="M21" s="23">
        <v>0</v>
      </c>
      <c r="N21" s="369">
        <v>0</v>
      </c>
      <c r="O21" s="23">
        <v>0</v>
      </c>
      <c r="P21" s="376">
        <v>0</v>
      </c>
    </row>
    <row r="22" spans="1:16" x14ac:dyDescent="0.3">
      <c r="A22" s="12">
        <f t="shared" si="0"/>
        <v>18</v>
      </c>
      <c r="B22" s="8"/>
      <c r="C22" s="9" t="s">
        <v>20</v>
      </c>
      <c r="D22" s="10"/>
      <c r="E22" s="14">
        <v>0</v>
      </c>
      <c r="F22" s="30">
        <v>0</v>
      </c>
      <c r="G22" s="14">
        <v>0</v>
      </c>
      <c r="H22" s="30">
        <v>0</v>
      </c>
      <c r="I22" s="14">
        <v>0</v>
      </c>
      <c r="J22" s="30">
        <v>0</v>
      </c>
      <c r="K22" s="14">
        <v>0</v>
      </c>
      <c r="L22" s="30">
        <v>0</v>
      </c>
      <c r="M22" s="14">
        <v>0</v>
      </c>
      <c r="N22" s="30">
        <v>0</v>
      </c>
      <c r="O22" s="14">
        <v>0</v>
      </c>
      <c r="P22" s="36">
        <v>0</v>
      </c>
    </row>
    <row r="23" spans="1:16" x14ac:dyDescent="0.3">
      <c r="A23" s="12">
        <f t="shared" si="0"/>
        <v>19</v>
      </c>
      <c r="B23" s="8"/>
      <c r="C23" s="9" t="s">
        <v>21</v>
      </c>
      <c r="D23" s="10"/>
      <c r="E23" s="14">
        <v>0</v>
      </c>
      <c r="F23" s="30">
        <v>0</v>
      </c>
      <c r="G23" s="14">
        <v>0</v>
      </c>
      <c r="H23" s="30">
        <v>0</v>
      </c>
      <c r="I23" s="14">
        <v>0</v>
      </c>
      <c r="J23" s="30">
        <v>0</v>
      </c>
      <c r="K23" s="14">
        <v>0</v>
      </c>
      <c r="L23" s="30">
        <v>0</v>
      </c>
      <c r="M23" s="14">
        <v>0</v>
      </c>
      <c r="N23" s="30">
        <v>0</v>
      </c>
      <c r="O23" s="14">
        <v>0</v>
      </c>
      <c r="P23" s="36">
        <v>0</v>
      </c>
    </row>
    <row r="24" spans="1:16" x14ac:dyDescent="0.3">
      <c r="A24" s="12">
        <f t="shared" si="0"/>
        <v>20</v>
      </c>
      <c r="B24" s="8"/>
      <c r="C24" s="9" t="s">
        <v>22</v>
      </c>
      <c r="D24" s="10"/>
      <c r="E24" s="14">
        <v>5991</v>
      </c>
      <c r="F24" s="30">
        <v>5991</v>
      </c>
      <c r="G24" s="14">
        <v>5991</v>
      </c>
      <c r="H24" s="30">
        <v>18796.494166666664</v>
      </c>
      <c r="I24" s="14">
        <v>18796.494166666664</v>
      </c>
      <c r="J24" s="30">
        <v>18796.494166666664</v>
      </c>
      <c r="K24" s="14">
        <v>18796.494166666664</v>
      </c>
      <c r="L24" s="30">
        <v>18796.494166666664</v>
      </c>
      <c r="M24" s="14">
        <v>18796.494166666664</v>
      </c>
      <c r="N24" s="30">
        <v>18796.494166666664</v>
      </c>
      <c r="O24" s="14">
        <v>18796.494166666664</v>
      </c>
      <c r="P24" s="36">
        <v>18796.494166666664</v>
      </c>
    </row>
    <row r="25" spans="1:16" x14ac:dyDescent="0.3">
      <c r="A25" s="12">
        <f t="shared" si="0"/>
        <v>21</v>
      </c>
      <c r="B25" s="8"/>
      <c r="C25" s="9" t="s">
        <v>23</v>
      </c>
      <c r="D25" s="10"/>
      <c r="E25" s="14">
        <v>21174</v>
      </c>
      <c r="F25" s="30">
        <v>30709.999999999996</v>
      </c>
      <c r="G25" s="14">
        <v>24820</v>
      </c>
      <c r="H25" s="30">
        <v>39403.53043478261</v>
      </c>
      <c r="I25" s="14">
        <v>40666.20102214651</v>
      </c>
      <c r="J25" s="30">
        <v>45994.229137199436</v>
      </c>
      <c r="K25" s="14">
        <v>24820.183783783785</v>
      </c>
      <c r="L25" s="30">
        <v>22857.008298507462</v>
      </c>
      <c r="M25" s="14">
        <v>37300.476021314389</v>
      </c>
      <c r="N25" s="30">
        <v>41857.975247524751</v>
      </c>
      <c r="O25" s="14">
        <v>28556</v>
      </c>
      <c r="P25" s="36">
        <v>19164</v>
      </c>
    </row>
    <row r="26" spans="1:16" x14ac:dyDescent="0.3">
      <c r="A26" s="12">
        <f>A25+1</f>
        <v>22</v>
      </c>
      <c r="B26" s="8"/>
      <c r="C26" s="9" t="s">
        <v>24</v>
      </c>
      <c r="D26" s="10"/>
      <c r="E26" s="14">
        <v>367</v>
      </c>
      <c r="F26" s="30">
        <v>532</v>
      </c>
      <c r="G26" s="14">
        <v>430.00000000000006</v>
      </c>
      <c r="H26" s="30">
        <v>677.22241681260948</v>
      </c>
      <c r="I26" s="14">
        <v>708.44974446337312</v>
      </c>
      <c r="J26" s="30">
        <v>796.10749646393208</v>
      </c>
      <c r="K26" s="14">
        <v>429.9</v>
      </c>
      <c r="L26" s="30">
        <v>396.06567164179103</v>
      </c>
      <c r="M26" s="14">
        <v>645</v>
      </c>
      <c r="N26" s="30">
        <v>725.06930693069307</v>
      </c>
      <c r="O26" s="14">
        <v>362</v>
      </c>
      <c r="P26" s="36">
        <v>243</v>
      </c>
    </row>
    <row r="27" spans="1:16" x14ac:dyDescent="0.3">
      <c r="A27" s="12">
        <f t="shared" si="0"/>
        <v>23</v>
      </c>
      <c r="B27" s="8"/>
      <c r="C27" s="9" t="s">
        <v>25</v>
      </c>
      <c r="D27" s="10"/>
      <c r="E27" s="14">
        <v>0</v>
      </c>
      <c r="F27" s="30">
        <v>0</v>
      </c>
      <c r="G27" s="14">
        <v>0</v>
      </c>
      <c r="H27" s="30">
        <v>0</v>
      </c>
      <c r="I27" s="14">
        <v>0</v>
      </c>
      <c r="J27" s="30">
        <v>0</v>
      </c>
      <c r="K27" s="14">
        <v>0</v>
      </c>
      <c r="L27" s="30">
        <v>0</v>
      </c>
      <c r="M27" s="14">
        <v>0</v>
      </c>
      <c r="N27" s="30">
        <v>0</v>
      </c>
      <c r="O27" s="14">
        <v>0</v>
      </c>
      <c r="P27" s="36">
        <v>0</v>
      </c>
    </row>
    <row r="28" spans="1:16" x14ac:dyDescent="0.3">
      <c r="A28" s="12">
        <f t="shared" si="0"/>
        <v>24</v>
      </c>
      <c r="B28" s="8"/>
      <c r="C28" s="9" t="s">
        <v>26</v>
      </c>
      <c r="D28" s="10"/>
      <c r="E28" s="24">
        <v>0</v>
      </c>
      <c r="F28" s="370">
        <v>0</v>
      </c>
      <c r="G28" s="24">
        <v>0</v>
      </c>
      <c r="H28" s="370">
        <v>0</v>
      </c>
      <c r="I28" s="24">
        <v>0</v>
      </c>
      <c r="J28" s="370">
        <v>0</v>
      </c>
      <c r="K28" s="24">
        <v>0</v>
      </c>
      <c r="L28" s="370">
        <v>0</v>
      </c>
      <c r="M28" s="24">
        <v>0</v>
      </c>
      <c r="N28" s="370">
        <v>0</v>
      </c>
      <c r="O28" s="24">
        <v>0</v>
      </c>
      <c r="P28" s="377">
        <v>0</v>
      </c>
    </row>
    <row r="29" spans="1:16" ht="15" thickBot="1" x14ac:dyDescent="0.35">
      <c r="A29" s="12">
        <f t="shared" si="0"/>
        <v>25</v>
      </c>
      <c r="B29" s="4"/>
      <c r="C29" s="20" t="s">
        <v>27</v>
      </c>
      <c r="D29" s="6"/>
      <c r="E29" s="18">
        <f t="shared" ref="E29:N29" si="6">SUM(E17:E28)</f>
        <v>2383553.46</v>
      </c>
      <c r="F29" s="366">
        <f t="shared" si="6"/>
        <v>2336861.94</v>
      </c>
      <c r="G29" s="18">
        <f t="shared" si="6"/>
        <v>2305848.89</v>
      </c>
      <c r="H29" s="366">
        <f t="shared" si="6"/>
        <v>2378073.2970182616</v>
      </c>
      <c r="I29" s="18">
        <f t="shared" si="6"/>
        <v>2418392.614933277</v>
      </c>
      <c r="J29" s="366">
        <f t="shared" si="6"/>
        <v>2411152.5208003302</v>
      </c>
      <c r="K29" s="18">
        <f t="shared" si="6"/>
        <v>2365388.0379504501</v>
      </c>
      <c r="L29" s="366">
        <f t="shared" si="6"/>
        <v>2186728.9781368161</v>
      </c>
      <c r="M29" s="18">
        <f t="shared" si="6"/>
        <v>2331768.6201879811</v>
      </c>
      <c r="N29" s="366">
        <f t="shared" si="6"/>
        <v>2282143.738721122</v>
      </c>
      <c r="O29" s="18">
        <f t="shared" ref="O29" si="7">SUM(O17:O28)</f>
        <v>2217643.6841666666</v>
      </c>
      <c r="P29" s="368">
        <f>SUM(P17:P28)</f>
        <v>2159200.854166667</v>
      </c>
    </row>
    <row r="30" spans="1:16" ht="15" thickTop="1" x14ac:dyDescent="0.3">
      <c r="A30" s="12">
        <f t="shared" si="0"/>
        <v>26</v>
      </c>
      <c r="B30" s="8"/>
      <c r="C30" s="9" t="s">
        <v>28</v>
      </c>
      <c r="D30" s="10"/>
      <c r="E30" s="25">
        <v>0</v>
      </c>
      <c r="F30" s="371">
        <v>0</v>
      </c>
      <c r="G30" s="25">
        <v>0</v>
      </c>
      <c r="H30" s="371">
        <v>0</v>
      </c>
      <c r="I30" s="25">
        <v>0</v>
      </c>
      <c r="J30" s="371">
        <v>0</v>
      </c>
      <c r="K30" s="25">
        <v>0</v>
      </c>
      <c r="L30" s="371">
        <v>0</v>
      </c>
      <c r="M30" s="25">
        <v>0</v>
      </c>
      <c r="N30" s="371">
        <v>0</v>
      </c>
      <c r="O30" s="25">
        <v>0</v>
      </c>
      <c r="P30" s="378">
        <v>0</v>
      </c>
    </row>
    <row r="31" spans="1:16" x14ac:dyDescent="0.3">
      <c r="A31" s="12">
        <f t="shared" si="0"/>
        <v>27</v>
      </c>
      <c r="B31" s="8"/>
      <c r="C31" s="9" t="s">
        <v>29</v>
      </c>
      <c r="D31" s="10"/>
      <c r="E31" s="14">
        <v>70287</v>
      </c>
      <c r="F31" s="30">
        <v>51910.759999999995</v>
      </c>
      <c r="G31" s="14">
        <v>6035</v>
      </c>
      <c r="H31" s="30">
        <v>22414.86</v>
      </c>
      <c r="I31" s="135">
        <v>150462</v>
      </c>
      <c r="J31" s="30">
        <v>57160</v>
      </c>
      <c r="K31" s="14">
        <v>119595.35000000002</v>
      </c>
      <c r="L31" s="30">
        <v>260210</v>
      </c>
      <c r="M31" s="14">
        <v>-11254.579999999994</v>
      </c>
      <c r="N31" s="30">
        <v>125093</v>
      </c>
      <c r="O31" s="14">
        <v>51988</v>
      </c>
      <c r="P31" s="36">
        <v>56492</v>
      </c>
    </row>
    <row r="32" spans="1:16" ht="15" thickBot="1" x14ac:dyDescent="0.35">
      <c r="A32" s="12">
        <f t="shared" si="0"/>
        <v>28</v>
      </c>
      <c r="B32" s="4"/>
      <c r="C32" s="20" t="s">
        <v>30</v>
      </c>
      <c r="D32" s="6"/>
      <c r="E32" s="18">
        <f t="shared" ref="E32:N32" si="8">E30+E31</f>
        <v>70287</v>
      </c>
      <c r="F32" s="366">
        <f t="shared" si="8"/>
        <v>51910.759999999995</v>
      </c>
      <c r="G32" s="18">
        <f t="shared" si="8"/>
        <v>6035</v>
      </c>
      <c r="H32" s="366">
        <f t="shared" si="8"/>
        <v>22414.86</v>
      </c>
      <c r="I32" s="18">
        <f t="shared" si="8"/>
        <v>150462</v>
      </c>
      <c r="J32" s="366">
        <f t="shared" si="8"/>
        <v>57160</v>
      </c>
      <c r="K32" s="18">
        <f t="shared" si="8"/>
        <v>119595.35000000002</v>
      </c>
      <c r="L32" s="366">
        <f t="shared" si="8"/>
        <v>260210</v>
      </c>
      <c r="M32" s="18">
        <f t="shared" si="8"/>
        <v>-11254.579999999994</v>
      </c>
      <c r="N32" s="366">
        <f t="shared" si="8"/>
        <v>125093</v>
      </c>
      <c r="O32" s="18">
        <f t="shared" ref="O32:P32" si="9">O30+O31</f>
        <v>51988</v>
      </c>
      <c r="P32" s="368">
        <f t="shared" si="9"/>
        <v>56492</v>
      </c>
    </row>
    <row r="33" spans="1:17" ht="15" thickTop="1" x14ac:dyDescent="0.3">
      <c r="A33" s="12">
        <f t="shared" si="0"/>
        <v>29</v>
      </c>
      <c r="B33" s="8"/>
      <c r="C33" s="9" t="s">
        <v>31</v>
      </c>
      <c r="D33" s="10"/>
      <c r="E33" s="14">
        <f>ROUND((E5-$D$59)*0.0305/12,0)</f>
        <v>935674</v>
      </c>
      <c r="F33" s="14">
        <f>ROUND((F5-$D$59)*0.0305/12,0)</f>
        <v>935859</v>
      </c>
      <c r="G33" s="14">
        <f t="shared" ref="G33:P33" si="10">ROUND((G5-$D$60)*0.0305/12,0)</f>
        <v>932923</v>
      </c>
      <c r="H33" s="14">
        <f t="shared" si="10"/>
        <v>933002</v>
      </c>
      <c r="I33" s="14">
        <f t="shared" si="10"/>
        <v>936279</v>
      </c>
      <c r="J33" s="14">
        <f t="shared" si="10"/>
        <v>936340</v>
      </c>
      <c r="K33" s="14">
        <f t="shared" si="10"/>
        <v>936365</v>
      </c>
      <c r="L33" s="14">
        <f t="shared" si="10"/>
        <v>912809</v>
      </c>
      <c r="M33" s="14">
        <f t="shared" si="10"/>
        <v>912809</v>
      </c>
      <c r="N33" s="14">
        <f t="shared" si="10"/>
        <v>912815</v>
      </c>
      <c r="O33" s="14">
        <f t="shared" si="10"/>
        <v>912827</v>
      </c>
      <c r="P33" s="14">
        <f t="shared" si="10"/>
        <v>915710</v>
      </c>
    </row>
    <row r="34" spans="1:17" x14ac:dyDescent="0.3">
      <c r="A34" s="12">
        <f t="shared" si="0"/>
        <v>30</v>
      </c>
      <c r="B34" s="8"/>
      <c r="C34" s="9" t="s">
        <v>32</v>
      </c>
      <c r="D34" s="10"/>
      <c r="E34" s="14">
        <f>$D$59*0.125/12</f>
        <v>85313.702499999999</v>
      </c>
      <c r="F34" s="30">
        <f>$D$59*0.125/12</f>
        <v>85313.702499999999</v>
      </c>
      <c r="G34" s="14">
        <f t="shared" ref="G34:P34" si="11">$D$60*0.125/12</f>
        <v>97608.25</v>
      </c>
      <c r="H34" s="30">
        <f t="shared" si="11"/>
        <v>97608.25</v>
      </c>
      <c r="I34" s="14">
        <f t="shared" si="11"/>
        <v>97608.25</v>
      </c>
      <c r="J34" s="30">
        <f t="shared" si="11"/>
        <v>97608.25</v>
      </c>
      <c r="K34" s="14">
        <f t="shared" si="11"/>
        <v>97608.25</v>
      </c>
      <c r="L34" s="30">
        <f t="shared" si="11"/>
        <v>97608.25</v>
      </c>
      <c r="M34" s="14">
        <f t="shared" si="11"/>
        <v>97608.25</v>
      </c>
      <c r="N34" s="30">
        <f t="shared" si="11"/>
        <v>97608.25</v>
      </c>
      <c r="O34" s="14">
        <f t="shared" si="11"/>
        <v>97608.25</v>
      </c>
      <c r="P34" s="36">
        <f t="shared" si="11"/>
        <v>97608.25</v>
      </c>
    </row>
    <row r="35" spans="1:17" x14ac:dyDescent="0.3">
      <c r="A35" s="12">
        <f t="shared" si="0"/>
        <v>31</v>
      </c>
      <c r="B35" s="8"/>
      <c r="C35" s="9" t="s">
        <v>33</v>
      </c>
      <c r="D35" s="10"/>
      <c r="E35" s="14">
        <v>20194</v>
      </c>
      <c r="F35" s="14">
        <f>ROUND((F5)*('Property Tax'!$B$1*'Property Tax'!$B$3*'Property Tax'!$B$5)/12,0)</f>
        <v>19576</v>
      </c>
      <c r="G35" s="14">
        <f>ROUND((G5)*('Property Tax'!$B$1*'Property Tax'!$B$3*'Property Tax'!$B$5)/12,0)</f>
        <v>19578</v>
      </c>
      <c r="H35" s="14">
        <f>ROUND((H5)*('Property Tax'!$B$1*'Property Tax'!$B$3*'Property Tax'!$B$5)/12,0)</f>
        <v>19579</v>
      </c>
      <c r="I35" s="14">
        <f>ROUND((I5)*('Property Tax'!$B$1*'Property Tax'!$B$3*'Property Tax'!$B$5)/12,0)</f>
        <v>19646</v>
      </c>
      <c r="J35" s="14">
        <f>ROUND((J5)*('Property Tax'!$B$1*'Property Tax'!$B$3*'Property Tax'!$B$5)/12,0)</f>
        <v>19648</v>
      </c>
      <c r="K35" s="14">
        <f>ROUND((K5)*('Property Tax'!$B$1*'Property Tax'!$B$3*'Property Tax'!$B$5)/12,0)</f>
        <v>19648</v>
      </c>
      <c r="L35" s="14">
        <f>ROUND((L5)*('Property Tax'!$B$1*'Property Tax'!$B$3*'Property Tax'!$B$5)/12,0)</f>
        <v>19166</v>
      </c>
      <c r="M35" s="14">
        <f>ROUND((M5)*('Property Tax'!$B$1*'Property Tax'!$B$3*'Property Tax'!$B$5)/12,0)</f>
        <v>19166</v>
      </c>
      <c r="N35" s="14">
        <f>ROUND((N5)*('Property Tax'!$B$1*'Property Tax'!$B$3*'Property Tax'!$B$5)/12,0)</f>
        <v>19166</v>
      </c>
      <c r="O35" s="14">
        <f>ROUND((O5)*('Property Tax'!$B$1*'Property Tax'!$B$3*'Property Tax'!$B$5)/12,0)</f>
        <v>19166</v>
      </c>
      <c r="P35" s="14">
        <f>ROUND((P5)*('Property Tax'!$B$1*'Property Tax'!$B$3*'Property Tax'!$B$5)/12,0)</f>
        <v>19225</v>
      </c>
    </row>
    <row r="36" spans="1:17" ht="15" thickBot="1" x14ac:dyDescent="0.35">
      <c r="A36" s="12">
        <f t="shared" si="0"/>
        <v>32</v>
      </c>
      <c r="B36" s="4"/>
      <c r="C36" s="20" t="s">
        <v>34</v>
      </c>
      <c r="D36" s="6"/>
      <c r="E36" s="86">
        <f t="shared" ref="E36:N36" si="12">SUM(E33:E35)</f>
        <v>1041181.7025</v>
      </c>
      <c r="F36" s="372">
        <f t="shared" si="12"/>
        <v>1040748.7025</v>
      </c>
      <c r="G36" s="86">
        <f t="shared" si="12"/>
        <v>1050109.25</v>
      </c>
      <c r="H36" s="372">
        <f t="shared" si="12"/>
        <v>1050189.25</v>
      </c>
      <c r="I36" s="382">
        <f t="shared" si="12"/>
        <v>1053533.25</v>
      </c>
      <c r="J36" s="372">
        <f t="shared" si="12"/>
        <v>1053596.25</v>
      </c>
      <c r="K36" s="382">
        <f t="shared" si="12"/>
        <v>1053621.25</v>
      </c>
      <c r="L36" s="372">
        <f t="shared" si="12"/>
        <v>1029583.25</v>
      </c>
      <c r="M36" s="382">
        <f t="shared" si="12"/>
        <v>1029583.25</v>
      </c>
      <c r="N36" s="372">
        <f t="shared" si="12"/>
        <v>1029589.25</v>
      </c>
      <c r="O36" s="382">
        <f t="shared" ref="O36:P36" si="13">SUM(O33:O35)</f>
        <v>1029601.25</v>
      </c>
      <c r="P36" s="513">
        <f t="shared" si="13"/>
        <v>1032543.25</v>
      </c>
    </row>
    <row r="37" spans="1:17" ht="15" thickBot="1" x14ac:dyDescent="0.35">
      <c r="A37" s="26">
        <f t="shared" si="0"/>
        <v>33</v>
      </c>
      <c r="B37" s="4"/>
      <c r="C37" s="20" t="s">
        <v>36</v>
      </c>
      <c r="D37" s="6"/>
      <c r="E37" s="116">
        <f>SUM(E29+E32+E36)</f>
        <v>3495022.1625000001</v>
      </c>
      <c r="F37" s="500">
        <f t="shared" ref="F37:N37" si="14">SUM(F29+F32+F36)</f>
        <v>3429521.4024999999</v>
      </c>
      <c r="G37" s="116">
        <f t="shared" si="14"/>
        <v>3361993.14</v>
      </c>
      <c r="H37" s="501">
        <f t="shared" si="14"/>
        <v>3450677.4070182615</v>
      </c>
      <c r="I37" s="116">
        <f t="shared" si="14"/>
        <v>3622387.864933277</v>
      </c>
      <c r="J37" s="116">
        <f t="shared" si="14"/>
        <v>3521908.7708003302</v>
      </c>
      <c r="K37" s="116">
        <f t="shared" si="14"/>
        <v>3538604.6379504502</v>
      </c>
      <c r="L37" s="116">
        <f t="shared" si="14"/>
        <v>3476522.2281368161</v>
      </c>
      <c r="M37" s="116">
        <f t="shared" si="14"/>
        <v>3350097.290187981</v>
      </c>
      <c r="N37" s="116">
        <f t="shared" si="14"/>
        <v>3436825.988721122</v>
      </c>
      <c r="O37" s="116">
        <f t="shared" ref="O37:P37" si="15">SUM(O29+O32+O36)</f>
        <v>3299232.9341666666</v>
      </c>
      <c r="P37" s="116">
        <f t="shared" si="15"/>
        <v>3248236.104166667</v>
      </c>
    </row>
    <row r="38" spans="1:17" x14ac:dyDescent="0.3">
      <c r="C38" s="514" t="s">
        <v>37</v>
      </c>
      <c r="D38" s="502"/>
      <c r="E38" s="503">
        <f>Rockport!E26</f>
        <v>1415</v>
      </c>
      <c r="F38" s="503">
        <f>Rockport!F26</f>
        <v>2699</v>
      </c>
      <c r="G38" s="503">
        <f>Rockport!G26</f>
        <v>2689</v>
      </c>
      <c r="H38" s="503">
        <f>Rockport!H26</f>
        <v>3556</v>
      </c>
      <c r="I38" s="503">
        <f>Rockport!I26</f>
        <v>3687</v>
      </c>
      <c r="J38" s="503">
        <f>Rockport!J26</f>
        <v>3620</v>
      </c>
      <c r="K38" s="503">
        <f>Rockport!K26</f>
        <v>2880</v>
      </c>
      <c r="L38" s="503">
        <f>Rockport!L26</f>
        <v>3298</v>
      </c>
      <c r="M38" s="503">
        <f>Rockport!M26</f>
        <v>3331</v>
      </c>
      <c r="N38" s="503">
        <f>Rockport!N26</f>
        <v>3747</v>
      </c>
      <c r="O38" s="503">
        <f>Rockport!O26</f>
        <v>3332</v>
      </c>
      <c r="P38" s="515">
        <f>Rockport!P26</f>
        <v>3045</v>
      </c>
    </row>
    <row r="39" spans="1:17" x14ac:dyDescent="0.3">
      <c r="C39" s="516" t="s">
        <v>38</v>
      </c>
      <c r="D39" s="31"/>
      <c r="E39" s="504">
        <v>134076</v>
      </c>
      <c r="F39" s="504">
        <v>0</v>
      </c>
      <c r="G39" s="504">
        <v>0</v>
      </c>
      <c r="H39" s="504">
        <v>0</v>
      </c>
      <c r="I39" s="504">
        <v>119500</v>
      </c>
      <c r="J39" s="504">
        <v>0</v>
      </c>
      <c r="K39" s="504">
        <v>13073</v>
      </c>
      <c r="L39" s="504">
        <v>0</v>
      </c>
      <c r="M39" s="504">
        <v>0</v>
      </c>
      <c r="N39" s="504">
        <v>5100</v>
      </c>
      <c r="O39" s="504">
        <v>0</v>
      </c>
      <c r="P39" s="517">
        <v>0</v>
      </c>
    </row>
    <row r="40" spans="1:17" s="44" customFormat="1" x14ac:dyDescent="0.3">
      <c r="A40" s="114"/>
      <c r="B40" s="114"/>
      <c r="C40" s="516" t="s">
        <v>107</v>
      </c>
      <c r="D40" s="505"/>
      <c r="E40" s="506">
        <f t="shared" ref="E40:N40" si="16">ROUND(E37+E38-E39,0)</f>
        <v>3362361</v>
      </c>
      <c r="F40" s="506">
        <f t="shared" si="16"/>
        <v>3432220</v>
      </c>
      <c r="G40" s="506">
        <f t="shared" si="16"/>
        <v>3364682</v>
      </c>
      <c r="H40" s="506">
        <f t="shared" si="16"/>
        <v>3454233</v>
      </c>
      <c r="I40" s="506">
        <f t="shared" si="16"/>
        <v>3506575</v>
      </c>
      <c r="J40" s="506">
        <f t="shared" si="16"/>
        <v>3525529</v>
      </c>
      <c r="K40" s="506">
        <f t="shared" si="16"/>
        <v>3528412</v>
      </c>
      <c r="L40" s="506">
        <f t="shared" si="16"/>
        <v>3479820</v>
      </c>
      <c r="M40" s="506">
        <f t="shared" si="16"/>
        <v>3353428</v>
      </c>
      <c r="N40" s="506">
        <f t="shared" si="16"/>
        <v>3435473</v>
      </c>
      <c r="O40" s="506">
        <f t="shared" ref="O40:P40" si="17">ROUND(O37+O38-O39,0)</f>
        <v>3302565</v>
      </c>
      <c r="P40" s="518">
        <f t="shared" si="17"/>
        <v>3251281</v>
      </c>
    </row>
    <row r="41" spans="1:17" x14ac:dyDescent="0.3">
      <c r="C41" s="519" t="s">
        <v>43</v>
      </c>
      <c r="D41" s="507"/>
      <c r="E41" s="508">
        <f>ROUND(E40*'Allocation Factors'!E$3,0)</f>
        <v>3248041</v>
      </c>
      <c r="F41" s="508">
        <f>ROUND(F40*'Allocation Factors'!F$3,0)</f>
        <v>3329253</v>
      </c>
      <c r="G41" s="508">
        <f>ROUND(G40*'Allocation Factors'!G$3,0)</f>
        <v>3280565</v>
      </c>
      <c r="H41" s="508">
        <f>ROUND(H40*'Allocation Factors'!H$3,0)</f>
        <v>3070813</v>
      </c>
      <c r="I41" s="508">
        <f>ROUND(I40*'Allocation Factors'!I$3,0)</f>
        <v>2973576</v>
      </c>
      <c r="J41" s="508">
        <f>ROUND(J40*'Allocation Factors'!J$3,0)</f>
        <v>3046057</v>
      </c>
      <c r="K41" s="508">
        <f>ROUND(K40*'Allocation Factors'!K$3,0)</f>
        <v>3369633</v>
      </c>
      <c r="L41" s="508">
        <f>ROUND(L40*'Allocation Factors'!L$3,0)</f>
        <v>3250152</v>
      </c>
      <c r="M41" s="508">
        <f>ROUND(M40*'Allocation Factors'!M$3,0)</f>
        <v>2736397</v>
      </c>
      <c r="N41" s="508">
        <f>ROUND(N40*'Allocation Factors'!N$3,0)</f>
        <v>3109103</v>
      </c>
      <c r="O41" s="508">
        <f>ROUND(O40*'Allocation Factors'!O$3,0)</f>
        <v>3177068</v>
      </c>
      <c r="P41" s="520">
        <f>ROUND(P40*'Allocation Factors'!P$3,0)</f>
        <v>3156994</v>
      </c>
      <c r="Q41" s="46"/>
    </row>
    <row r="42" spans="1:17" s="360" customFormat="1" x14ac:dyDescent="0.3">
      <c r="C42" s="496" t="s">
        <v>1879</v>
      </c>
      <c r="D42" s="497"/>
      <c r="E42" s="498">
        <f>SUM(E19:E28)+SUM(E30:E31)+SUM(E33:E35)</f>
        <v>1281935.7025000001</v>
      </c>
      <c r="F42" s="498">
        <f t="shared" ref="F42:P42" si="18">SUM(F19:F28)+SUM(F30:F31)+SUM(F33:F35)</f>
        <v>1225577.1724999999</v>
      </c>
      <c r="G42" s="498">
        <f t="shared" si="18"/>
        <v>1163105.25</v>
      </c>
      <c r="H42" s="498">
        <f t="shared" si="18"/>
        <v>1255840.3570182619</v>
      </c>
      <c r="I42" s="498">
        <f t="shared" si="18"/>
        <v>1426013.3949332766</v>
      </c>
      <c r="J42" s="498">
        <f t="shared" si="18"/>
        <v>1335597.08080033</v>
      </c>
      <c r="K42" s="498">
        <f t="shared" si="18"/>
        <v>1348098.1779504505</v>
      </c>
      <c r="L42" s="498">
        <f t="shared" si="18"/>
        <v>1372833.8181368159</v>
      </c>
      <c r="M42" s="498">
        <f t="shared" si="18"/>
        <v>1260156.860187981</v>
      </c>
      <c r="N42" s="498">
        <f t="shared" si="18"/>
        <v>1358614.7887211221</v>
      </c>
      <c r="O42" s="498">
        <f t="shared" si="18"/>
        <v>1225908.7441666666</v>
      </c>
      <c r="P42" s="521">
        <f t="shared" si="18"/>
        <v>1180432.7441666666</v>
      </c>
    </row>
    <row r="43" spans="1:17" s="360" customFormat="1" ht="15" thickBot="1" x14ac:dyDescent="0.35">
      <c r="C43" s="522" t="s">
        <v>1880</v>
      </c>
      <c r="D43" s="523">
        <f>('3.15 '!O42)-1</f>
        <v>5.4250000000000131E-3</v>
      </c>
      <c r="E43" s="524">
        <f>ROUND(E42*$D$43,0)</f>
        <v>6955</v>
      </c>
      <c r="F43" s="524">
        <f t="shared" ref="F43:P43" si="19">ROUND(F42*$D$43,0)</f>
        <v>6649</v>
      </c>
      <c r="G43" s="524">
        <f t="shared" si="19"/>
        <v>6310</v>
      </c>
      <c r="H43" s="524">
        <f t="shared" si="19"/>
        <v>6813</v>
      </c>
      <c r="I43" s="524">
        <f t="shared" si="19"/>
        <v>7736</v>
      </c>
      <c r="J43" s="524">
        <f t="shared" si="19"/>
        <v>7246</v>
      </c>
      <c r="K43" s="524">
        <f t="shared" si="19"/>
        <v>7313</v>
      </c>
      <c r="L43" s="524">
        <f t="shared" si="19"/>
        <v>7448</v>
      </c>
      <c r="M43" s="524">
        <f t="shared" si="19"/>
        <v>6836</v>
      </c>
      <c r="N43" s="524">
        <f t="shared" si="19"/>
        <v>7370</v>
      </c>
      <c r="O43" s="524">
        <f t="shared" si="19"/>
        <v>6651</v>
      </c>
      <c r="P43" s="525">
        <f t="shared" si="19"/>
        <v>6404</v>
      </c>
    </row>
    <row r="44" spans="1:17" ht="15" thickBot="1" x14ac:dyDescent="0.35">
      <c r="C44" s="522" t="s">
        <v>1882</v>
      </c>
      <c r="D44" s="537"/>
      <c r="E44" s="538">
        <f>E41+E43</f>
        <v>3254996</v>
      </c>
      <c r="F44" s="538">
        <f t="shared" ref="F44:P44" si="20">F41+F43</f>
        <v>3335902</v>
      </c>
      <c r="G44" s="538">
        <f t="shared" si="20"/>
        <v>3286875</v>
      </c>
      <c r="H44" s="538">
        <f t="shared" si="20"/>
        <v>3077626</v>
      </c>
      <c r="I44" s="538">
        <f t="shared" si="20"/>
        <v>2981312</v>
      </c>
      <c r="J44" s="538">
        <f t="shared" si="20"/>
        <v>3053303</v>
      </c>
      <c r="K44" s="538">
        <f t="shared" si="20"/>
        <v>3376946</v>
      </c>
      <c r="L44" s="538">
        <f t="shared" si="20"/>
        <v>3257600</v>
      </c>
      <c r="M44" s="538">
        <f t="shared" si="20"/>
        <v>2743233</v>
      </c>
      <c r="N44" s="538">
        <f t="shared" si="20"/>
        <v>3116473</v>
      </c>
      <c r="O44" s="538">
        <f t="shared" si="20"/>
        <v>3183719</v>
      </c>
      <c r="P44" s="538">
        <f t="shared" si="20"/>
        <v>3163398</v>
      </c>
    </row>
    <row r="45" spans="1:17" x14ac:dyDescent="0.3"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7" spans="1:17" x14ac:dyDescent="0.3"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</row>
    <row r="55" spans="3:16" x14ac:dyDescent="0.3">
      <c r="P55" s="44" t="s">
        <v>13</v>
      </c>
    </row>
    <row r="59" spans="3:16" x14ac:dyDescent="0.3">
      <c r="C59" t="s">
        <v>106</v>
      </c>
      <c r="D59" s="85">
        <v>8190115.4399999995</v>
      </c>
    </row>
    <row r="60" spans="3:16" x14ac:dyDescent="0.3">
      <c r="C60" t="s">
        <v>105</v>
      </c>
      <c r="D60" s="43">
        <v>9370392</v>
      </c>
    </row>
  </sheetData>
  <mergeCells count="2">
    <mergeCell ref="A2:A3"/>
    <mergeCell ref="E2:P3"/>
  </mergeCells>
  <pageMargins left="0.7" right="0.7" top="0.75" bottom="0.75" header="0.3" footer="0.3"/>
  <pageSetup scale="91" orientation="portrait" r:id="rId1"/>
  <colBreaks count="1" manualBreakCount="1">
    <brk id="4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pane xSplit="4" ySplit="4" topLeftCell="L14" activePane="bottomRight" state="frozen"/>
      <selection pane="topRight" activeCell="E1" sqref="E1"/>
      <selection pane="bottomLeft" activeCell="A5" sqref="A5"/>
      <selection pane="bottomRight" activeCell="O37" sqref="O37"/>
    </sheetView>
  </sheetViews>
  <sheetFormatPr defaultRowHeight="14.4" x14ac:dyDescent="0.3"/>
  <cols>
    <col min="1" max="1" width="5.33203125" customWidth="1"/>
    <col min="2" max="2" width="0.33203125" customWidth="1"/>
    <col min="3" max="3" width="52.109375" customWidth="1"/>
    <col min="4" max="4" width="11" customWidth="1"/>
    <col min="5" max="14" width="18.109375" customWidth="1"/>
    <col min="15" max="16" width="18.109375" style="44" customWidth="1"/>
  </cols>
  <sheetData>
    <row r="1" spans="1:16" ht="15" thickBot="1" x14ac:dyDescent="0.35"/>
    <row r="2" spans="1:16" ht="15.75" customHeight="1" thickBot="1" x14ac:dyDescent="0.35">
      <c r="A2" s="545" t="s">
        <v>0</v>
      </c>
      <c r="B2" s="1"/>
      <c r="C2" s="2"/>
      <c r="D2" s="3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7"/>
    </row>
    <row r="3" spans="1:16" ht="15" thickBot="1" x14ac:dyDescent="0.35">
      <c r="A3" s="539"/>
      <c r="B3" s="4"/>
      <c r="C3" s="5" t="s">
        <v>1</v>
      </c>
      <c r="D3" s="6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9"/>
    </row>
    <row r="4" spans="1:16" x14ac:dyDescent="0.3">
      <c r="A4" s="7"/>
      <c r="B4" s="8"/>
      <c r="C4" s="9"/>
      <c r="D4" s="10"/>
      <c r="E4" s="379">
        <v>42432</v>
      </c>
      <c r="F4" s="373">
        <v>42463</v>
      </c>
      <c r="G4" s="39">
        <v>42494</v>
      </c>
      <c r="H4" s="39">
        <v>42525</v>
      </c>
      <c r="I4" s="39">
        <v>42556</v>
      </c>
      <c r="J4" s="39">
        <v>42587</v>
      </c>
      <c r="K4" s="39">
        <v>42618</v>
      </c>
      <c r="L4" s="39">
        <v>42649</v>
      </c>
      <c r="M4" s="39">
        <v>42680</v>
      </c>
      <c r="N4" s="38">
        <v>42711</v>
      </c>
      <c r="O4" s="38">
        <v>42742</v>
      </c>
      <c r="P4" s="38">
        <v>42773</v>
      </c>
    </row>
    <row r="5" spans="1:16" x14ac:dyDescent="0.3">
      <c r="A5" s="12">
        <v>1</v>
      </c>
      <c r="B5" s="8"/>
      <c r="C5" s="9" t="s">
        <v>2</v>
      </c>
      <c r="D5" s="10"/>
      <c r="E5" s="13">
        <v>327750081.48500013</v>
      </c>
      <c r="F5" s="374">
        <v>327760162.90500015</v>
      </c>
      <c r="G5" s="13">
        <v>327760162.90500015</v>
      </c>
      <c r="H5" s="13">
        <v>328045825.46500021</v>
      </c>
      <c r="I5" s="13">
        <v>328614420.11500025</v>
      </c>
      <c r="J5" s="13">
        <v>328614525.11500025</v>
      </c>
      <c r="K5" s="13">
        <v>328614525.11500025</v>
      </c>
      <c r="L5" s="13">
        <v>327963455.0650003</v>
      </c>
      <c r="M5" s="13">
        <v>327965222.44500029</v>
      </c>
      <c r="N5" s="37">
        <v>327978919.19500029</v>
      </c>
      <c r="O5" s="37">
        <v>328063267</v>
      </c>
      <c r="P5" s="37">
        <v>328075217</v>
      </c>
    </row>
    <row r="6" spans="1:16" x14ac:dyDescent="0.3">
      <c r="A6" s="12">
        <f>A5+1</f>
        <v>2</v>
      </c>
      <c r="B6" s="8"/>
      <c r="C6" s="9" t="s">
        <v>3</v>
      </c>
      <c r="D6" s="10"/>
      <c r="E6" s="137">
        <v>88730403.690000042</v>
      </c>
      <c r="F6" s="32">
        <v>89578712.219999939</v>
      </c>
      <c r="G6" s="137">
        <v>90186758.920000046</v>
      </c>
      <c r="H6" s="137">
        <v>90306249.149999917</v>
      </c>
      <c r="I6" s="137">
        <v>91038776.400000036</v>
      </c>
      <c r="J6" s="137">
        <v>91916604.419999942</v>
      </c>
      <c r="K6" s="137">
        <v>90478458.810000032</v>
      </c>
      <c r="L6" s="137">
        <v>91271677.800000057</v>
      </c>
      <c r="M6" s="137">
        <v>92177268.6300001</v>
      </c>
      <c r="N6" s="32">
        <v>93010281.330000028</v>
      </c>
      <c r="O6" s="32">
        <v>93781018</v>
      </c>
      <c r="P6" s="32">
        <v>94680475</v>
      </c>
    </row>
    <row r="7" spans="1:16" x14ac:dyDescent="0.3">
      <c r="A7" s="15">
        <f t="shared" ref="A7:A37" si="0">A6+1</f>
        <v>3</v>
      </c>
      <c r="B7" s="8"/>
      <c r="C7" s="16" t="s">
        <v>4</v>
      </c>
      <c r="D7" s="17"/>
      <c r="E7" s="137">
        <v>27470973</v>
      </c>
      <c r="F7" s="32">
        <v>27587159</v>
      </c>
      <c r="G7" s="137">
        <v>27374343</v>
      </c>
      <c r="H7" s="137">
        <v>28179739</v>
      </c>
      <c r="I7" s="137">
        <v>28420343</v>
      </c>
      <c r="J7" s="137">
        <v>28534393</v>
      </c>
      <c r="K7" s="137">
        <v>29459028</v>
      </c>
      <c r="L7" s="137">
        <v>29602684</v>
      </c>
      <c r="M7" s="137">
        <v>29707279</v>
      </c>
      <c r="N7" s="32">
        <v>29844525</v>
      </c>
      <c r="O7" s="32">
        <v>30042653</v>
      </c>
      <c r="P7" s="32">
        <v>30142473</v>
      </c>
    </row>
    <row r="8" spans="1:16" ht="15" thickBot="1" x14ac:dyDescent="0.35">
      <c r="A8" s="12">
        <f t="shared" si="0"/>
        <v>4</v>
      </c>
      <c r="B8" s="8"/>
      <c r="C8" s="9" t="s">
        <v>5</v>
      </c>
      <c r="D8" s="10"/>
      <c r="E8" s="18">
        <f>SUM(E5-E6-E7)</f>
        <v>211548704.79500008</v>
      </c>
      <c r="F8" s="18">
        <f t="shared" ref="F8:P8" si="1">SUM(F5-F6-F7)</f>
        <v>210594291.68500021</v>
      </c>
      <c r="G8" s="18">
        <f t="shared" si="1"/>
        <v>210199060.9850001</v>
      </c>
      <c r="H8" s="18">
        <f t="shared" si="1"/>
        <v>209559837.3150003</v>
      </c>
      <c r="I8" s="18">
        <f t="shared" si="1"/>
        <v>209155300.71500021</v>
      </c>
      <c r="J8" s="18">
        <f t="shared" si="1"/>
        <v>208163527.69500029</v>
      </c>
      <c r="K8" s="18">
        <f t="shared" si="1"/>
        <v>208677038.30500022</v>
      </c>
      <c r="L8" s="18">
        <f t="shared" si="1"/>
        <v>207089093.26500022</v>
      </c>
      <c r="M8" s="18">
        <f t="shared" si="1"/>
        <v>206080674.81500018</v>
      </c>
      <c r="N8" s="18">
        <f t="shared" si="1"/>
        <v>205124112.86500025</v>
      </c>
      <c r="O8" s="18">
        <f t="shared" si="1"/>
        <v>204239596</v>
      </c>
      <c r="P8" s="18">
        <f t="shared" si="1"/>
        <v>203252269</v>
      </c>
    </row>
    <row r="9" spans="1:16" ht="15" thickTop="1" x14ac:dyDescent="0.3">
      <c r="A9" s="12">
        <f t="shared" si="0"/>
        <v>5</v>
      </c>
      <c r="B9" s="8"/>
      <c r="C9" s="9" t="s">
        <v>6</v>
      </c>
      <c r="D9" s="10"/>
      <c r="E9" s="14">
        <v>0</v>
      </c>
      <c r="F9" s="36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36">
        <v>0</v>
      </c>
      <c r="O9" s="36">
        <v>0</v>
      </c>
      <c r="P9" s="36">
        <v>0</v>
      </c>
    </row>
    <row r="10" spans="1:16" x14ac:dyDescent="0.3">
      <c r="A10" s="12">
        <f>A9+1</f>
        <v>6</v>
      </c>
      <c r="B10" s="8"/>
      <c r="C10" s="9" t="s">
        <v>7</v>
      </c>
      <c r="D10" s="10"/>
      <c r="E10" s="14">
        <v>0</v>
      </c>
      <c r="F10" s="36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36">
        <v>0</v>
      </c>
      <c r="O10" s="36">
        <v>0</v>
      </c>
      <c r="P10" s="36">
        <v>0</v>
      </c>
    </row>
    <row r="11" spans="1:16" x14ac:dyDescent="0.3">
      <c r="A11" s="12">
        <f t="shared" si="0"/>
        <v>7</v>
      </c>
      <c r="B11" s="8"/>
      <c r="C11" s="9" t="s">
        <v>8</v>
      </c>
      <c r="D11" s="10"/>
      <c r="E11" s="14">
        <v>0</v>
      </c>
      <c r="F11" s="36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36">
        <v>0</v>
      </c>
      <c r="O11" s="36">
        <v>0</v>
      </c>
      <c r="P11" s="36">
        <v>0</v>
      </c>
    </row>
    <row r="12" spans="1:16" x14ac:dyDescent="0.3">
      <c r="A12" s="12">
        <v>8</v>
      </c>
      <c r="B12" s="8"/>
      <c r="C12" s="9" t="s">
        <v>9</v>
      </c>
      <c r="D12" s="10"/>
      <c r="E12" s="14">
        <v>0</v>
      </c>
      <c r="F12" s="36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36">
        <v>0</v>
      </c>
      <c r="O12" s="36">
        <v>0</v>
      </c>
      <c r="P12" s="36">
        <v>0</v>
      </c>
    </row>
    <row r="13" spans="1:16" x14ac:dyDescent="0.3">
      <c r="A13" s="12">
        <f>A12+1</f>
        <v>9</v>
      </c>
      <c r="B13" s="8"/>
      <c r="C13" s="9" t="s">
        <v>10</v>
      </c>
      <c r="D13" s="10"/>
      <c r="E13" s="19">
        <v>420610</v>
      </c>
      <c r="F13" s="367">
        <v>417400</v>
      </c>
      <c r="G13" s="19">
        <v>386353</v>
      </c>
      <c r="H13" s="367">
        <v>383827</v>
      </c>
      <c r="I13" s="19">
        <v>372223</v>
      </c>
      <c r="J13" s="367">
        <v>372284</v>
      </c>
      <c r="K13" s="19">
        <v>376630</v>
      </c>
      <c r="L13" s="494">
        <v>395753</v>
      </c>
      <c r="M13" s="137">
        <v>393039</v>
      </c>
      <c r="N13" s="32">
        <v>623365</v>
      </c>
      <c r="O13" s="32">
        <v>604003</v>
      </c>
      <c r="P13" s="32">
        <v>567840</v>
      </c>
    </row>
    <row r="14" spans="1:16" ht="15" thickBot="1" x14ac:dyDescent="0.35">
      <c r="A14" s="12">
        <f t="shared" si="0"/>
        <v>10</v>
      </c>
      <c r="B14" s="4"/>
      <c r="C14" s="20" t="s">
        <v>11</v>
      </c>
      <c r="D14" s="6"/>
      <c r="E14" s="18">
        <f>E8+E13</f>
        <v>211969314.79500008</v>
      </c>
      <c r="F14" s="18">
        <f t="shared" ref="F14:P14" si="2">F8+F13</f>
        <v>211011691.68500021</v>
      </c>
      <c r="G14" s="18">
        <f t="shared" si="2"/>
        <v>210585413.9850001</v>
      </c>
      <c r="H14" s="18">
        <f t="shared" si="2"/>
        <v>209943664.3150003</v>
      </c>
      <c r="I14" s="18">
        <f t="shared" si="2"/>
        <v>209527523.71500021</v>
      </c>
      <c r="J14" s="18">
        <f t="shared" si="2"/>
        <v>208535811.69500029</v>
      </c>
      <c r="K14" s="18">
        <f t="shared" si="2"/>
        <v>209053668.30500022</v>
      </c>
      <c r="L14" s="18">
        <f t="shared" si="2"/>
        <v>207484846.26500022</v>
      </c>
      <c r="M14" s="18">
        <f t="shared" si="2"/>
        <v>206473713.81500018</v>
      </c>
      <c r="N14" s="18">
        <f t="shared" si="2"/>
        <v>205747477.86500025</v>
      </c>
      <c r="O14" s="18">
        <f t="shared" si="2"/>
        <v>204843599</v>
      </c>
      <c r="P14" s="18">
        <f t="shared" si="2"/>
        <v>203820109</v>
      </c>
    </row>
    <row r="15" spans="1:16" ht="15" thickTop="1" x14ac:dyDescent="0.3">
      <c r="A15" s="12">
        <f t="shared" si="0"/>
        <v>11</v>
      </c>
      <c r="B15" s="8"/>
      <c r="C15" s="9" t="s">
        <v>12</v>
      </c>
      <c r="D15" s="21">
        <v>0.10128</v>
      </c>
      <c r="E15" s="11" t="s">
        <v>13</v>
      </c>
      <c r="F15" s="375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34" t="s">
        <v>13</v>
      </c>
      <c r="O15" s="34" t="s">
        <v>13</v>
      </c>
      <c r="P15" s="34" t="s">
        <v>13</v>
      </c>
    </row>
    <row r="16" spans="1:16" x14ac:dyDescent="0.3">
      <c r="A16" s="12">
        <f t="shared" si="0"/>
        <v>12</v>
      </c>
      <c r="B16" s="8"/>
      <c r="C16" s="9" t="s">
        <v>14</v>
      </c>
      <c r="D16" s="10"/>
      <c r="E16" s="22">
        <v>8.4399999999999996E-3</v>
      </c>
      <c r="F16" s="34">
        <v>8.4399999999999996E-3</v>
      </c>
      <c r="G16" s="22">
        <v>8.4399999999999996E-3</v>
      </c>
      <c r="H16" s="22">
        <v>8.4399999999999996E-3</v>
      </c>
      <c r="I16" s="22">
        <v>8.4399999999999996E-3</v>
      </c>
      <c r="J16" s="22">
        <v>8.4399999999999996E-3</v>
      </c>
      <c r="K16" s="22">
        <v>8.4399999999999996E-3</v>
      </c>
      <c r="L16" s="22">
        <v>8.4399999999999996E-3</v>
      </c>
      <c r="M16" s="22">
        <v>8.4399999999999996E-3</v>
      </c>
      <c r="N16" s="34">
        <v>8.4399999999999996E-3</v>
      </c>
      <c r="O16" s="34">
        <v>8.4399999999999996E-3</v>
      </c>
      <c r="P16" s="34">
        <v>8.4399999999999996E-3</v>
      </c>
    </row>
    <row r="17" spans="1:17" x14ac:dyDescent="0.3">
      <c r="A17" s="12">
        <f t="shared" si="0"/>
        <v>13</v>
      </c>
      <c r="B17" s="8"/>
      <c r="C17" s="9" t="s">
        <v>15</v>
      </c>
      <c r="D17" s="10"/>
      <c r="E17" s="14">
        <f t="shared" ref="E17:N17" si="3">ROUND(E14*E16,0)</f>
        <v>1789021</v>
      </c>
      <c r="F17" s="36">
        <f t="shared" si="3"/>
        <v>1780939</v>
      </c>
      <c r="G17" s="14">
        <f t="shared" si="3"/>
        <v>1777341</v>
      </c>
      <c r="H17" s="14">
        <f t="shared" si="3"/>
        <v>1771925</v>
      </c>
      <c r="I17" s="14">
        <f t="shared" si="3"/>
        <v>1768412</v>
      </c>
      <c r="J17" s="14">
        <f t="shared" si="3"/>
        <v>1760042</v>
      </c>
      <c r="K17" s="14">
        <f t="shared" si="3"/>
        <v>1764413</v>
      </c>
      <c r="L17" s="14">
        <f t="shared" si="3"/>
        <v>1751172</v>
      </c>
      <c r="M17" s="14">
        <f t="shared" si="3"/>
        <v>1742638</v>
      </c>
      <c r="N17" s="14">
        <f t="shared" si="3"/>
        <v>1736509</v>
      </c>
      <c r="O17" s="14">
        <f t="shared" ref="O17:P17" si="4">ROUND(O14*O16,0)</f>
        <v>1728880</v>
      </c>
      <c r="P17" s="14">
        <f t="shared" si="4"/>
        <v>1720242</v>
      </c>
    </row>
    <row r="18" spans="1:17" x14ac:dyDescent="0.3">
      <c r="A18" s="12">
        <f t="shared" si="0"/>
        <v>14</v>
      </c>
      <c r="B18" s="8"/>
      <c r="C18" s="9" t="s">
        <v>16</v>
      </c>
      <c r="D18" s="10"/>
      <c r="E18" s="23">
        <v>-58804.580000000009</v>
      </c>
      <c r="F18" s="376">
        <v>6660.6399999999994</v>
      </c>
      <c r="G18" s="23">
        <v>-65399</v>
      </c>
      <c r="H18" s="495">
        <v>-61276.9</v>
      </c>
      <c r="I18" s="495">
        <v>-47334</v>
      </c>
      <c r="J18" s="495">
        <v>-26468.160000000003</v>
      </c>
      <c r="K18" s="495">
        <v>16768.599999999999</v>
      </c>
      <c r="L18" s="495">
        <v>-56906</v>
      </c>
      <c r="M18" s="495">
        <v>359</v>
      </c>
      <c r="N18" s="36">
        <v>21108.240000000005</v>
      </c>
      <c r="O18" s="36">
        <v>-102925</v>
      </c>
      <c r="P18" s="36">
        <v>-13424</v>
      </c>
    </row>
    <row r="19" spans="1:17" x14ac:dyDescent="0.3">
      <c r="A19" s="12">
        <f t="shared" si="0"/>
        <v>15</v>
      </c>
      <c r="B19" s="8"/>
      <c r="C19" s="9" t="s">
        <v>17</v>
      </c>
      <c r="D19" s="10"/>
      <c r="E19" s="14">
        <v>0</v>
      </c>
      <c r="F19" s="36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36">
        <v>0</v>
      </c>
      <c r="O19" s="36">
        <v>0</v>
      </c>
      <c r="P19" s="36">
        <v>0</v>
      </c>
    </row>
    <row r="20" spans="1:17" x14ac:dyDescent="0.3">
      <c r="A20" s="12">
        <f t="shared" si="0"/>
        <v>16</v>
      </c>
      <c r="B20" s="8"/>
      <c r="C20" s="9" t="s">
        <v>18</v>
      </c>
      <c r="D20" s="10"/>
      <c r="E20" s="14">
        <v>0</v>
      </c>
      <c r="F20" s="36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36">
        <v>0</v>
      </c>
      <c r="O20" s="36">
        <v>0</v>
      </c>
      <c r="P20" s="36">
        <v>0</v>
      </c>
    </row>
    <row r="21" spans="1:17" x14ac:dyDescent="0.3">
      <c r="A21" s="12">
        <f t="shared" si="0"/>
        <v>17</v>
      </c>
      <c r="B21" s="8"/>
      <c r="C21" s="9" t="s">
        <v>19</v>
      </c>
      <c r="D21" s="10"/>
      <c r="E21" s="23">
        <v>316072</v>
      </c>
      <c r="F21" s="376">
        <v>244056.14</v>
      </c>
      <c r="G21" s="23">
        <v>160128</v>
      </c>
      <c r="H21" s="495">
        <v>239735</v>
      </c>
      <c r="I21" s="495">
        <v>412468</v>
      </c>
      <c r="J21" s="495">
        <v>389407.4</v>
      </c>
      <c r="K21" s="495">
        <v>414377</v>
      </c>
      <c r="L21" s="495">
        <v>125492</v>
      </c>
      <c r="M21" s="495">
        <v>371304.88999999996</v>
      </c>
      <c r="N21" s="36">
        <v>285504</v>
      </c>
      <c r="O21" s="36">
        <v>216852</v>
      </c>
      <c r="P21" s="36">
        <v>166050</v>
      </c>
    </row>
    <row r="22" spans="1:17" x14ac:dyDescent="0.3">
      <c r="A22" s="12">
        <f t="shared" si="0"/>
        <v>18</v>
      </c>
      <c r="B22" s="8"/>
      <c r="C22" s="9" t="s">
        <v>20</v>
      </c>
      <c r="D22" s="10"/>
      <c r="E22" s="14">
        <v>0</v>
      </c>
      <c r="F22" s="36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112851</v>
      </c>
      <c r="N22" s="36">
        <v>191</v>
      </c>
      <c r="O22" s="36">
        <v>81</v>
      </c>
      <c r="P22" s="36">
        <v>19839</v>
      </c>
    </row>
    <row r="23" spans="1:17" x14ac:dyDescent="0.3">
      <c r="A23" s="12">
        <f t="shared" si="0"/>
        <v>19</v>
      </c>
      <c r="B23" s="8"/>
      <c r="C23" s="9" t="s">
        <v>21</v>
      </c>
      <c r="D23" s="10"/>
      <c r="E23" s="14">
        <v>1971</v>
      </c>
      <c r="F23" s="36">
        <v>1700.4000000000003</v>
      </c>
      <c r="G23" s="14">
        <v>601</v>
      </c>
      <c r="H23" s="14">
        <v>1722</v>
      </c>
      <c r="I23" s="14">
        <v>1756</v>
      </c>
      <c r="J23" s="14">
        <v>2828</v>
      </c>
      <c r="K23" s="14">
        <v>623</v>
      </c>
      <c r="L23" s="14">
        <v>167</v>
      </c>
      <c r="M23" s="14">
        <v>1887.6099999999997</v>
      </c>
      <c r="N23" s="36">
        <v>5182</v>
      </c>
      <c r="O23" s="36">
        <v>524</v>
      </c>
      <c r="P23" s="36">
        <v>1685</v>
      </c>
    </row>
    <row r="24" spans="1:17" x14ac:dyDescent="0.3">
      <c r="A24" s="12">
        <f t="shared" si="0"/>
        <v>20</v>
      </c>
      <c r="B24" s="8"/>
      <c r="C24" s="9" t="s">
        <v>22</v>
      </c>
      <c r="D24" s="10"/>
      <c r="E24" s="14">
        <v>0</v>
      </c>
      <c r="F24" s="36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36">
        <v>0</v>
      </c>
      <c r="O24" s="36">
        <v>0</v>
      </c>
      <c r="P24" s="36">
        <v>0</v>
      </c>
      <c r="Q24" s="136"/>
    </row>
    <row r="25" spans="1:17" x14ac:dyDescent="0.3">
      <c r="A25" s="12">
        <f t="shared" si="0"/>
        <v>21</v>
      </c>
      <c r="B25" s="8"/>
      <c r="C25" s="9" t="s">
        <v>23</v>
      </c>
      <c r="D25" s="10"/>
      <c r="E25" s="14">
        <v>0</v>
      </c>
      <c r="F25" s="36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36">
        <v>0</v>
      </c>
      <c r="O25" s="36">
        <v>0</v>
      </c>
      <c r="P25" s="36">
        <v>0</v>
      </c>
      <c r="Q25" s="136"/>
    </row>
    <row r="26" spans="1:17" x14ac:dyDescent="0.3">
      <c r="A26" s="12">
        <f>A25+1</f>
        <v>22</v>
      </c>
      <c r="B26" s="8"/>
      <c r="C26" s="9" t="s">
        <v>24</v>
      </c>
      <c r="D26" s="10"/>
      <c r="E26" s="14">
        <v>0</v>
      </c>
      <c r="F26" s="36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36">
        <v>0</v>
      </c>
      <c r="O26" s="36">
        <v>0</v>
      </c>
      <c r="P26" s="36">
        <v>0</v>
      </c>
      <c r="Q26" s="136"/>
    </row>
    <row r="27" spans="1:17" x14ac:dyDescent="0.3">
      <c r="A27" s="12">
        <f t="shared" si="0"/>
        <v>23</v>
      </c>
      <c r="B27" s="8"/>
      <c r="C27" s="9" t="s">
        <v>25</v>
      </c>
      <c r="D27" s="10"/>
      <c r="E27" s="14">
        <v>0</v>
      </c>
      <c r="F27" s="36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36">
        <v>0</v>
      </c>
      <c r="O27" s="36">
        <v>0</v>
      </c>
      <c r="P27" s="36">
        <v>0</v>
      </c>
      <c r="Q27" s="136"/>
    </row>
    <row r="28" spans="1:17" ht="16.2" x14ac:dyDescent="0.45">
      <c r="A28" s="12">
        <f t="shared" si="0"/>
        <v>24</v>
      </c>
      <c r="B28" s="8"/>
      <c r="C28" s="9" t="s">
        <v>26</v>
      </c>
      <c r="D28" s="10"/>
      <c r="E28" s="24">
        <v>0</v>
      </c>
      <c r="F28" s="377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33">
        <v>0</v>
      </c>
      <c r="O28" s="33">
        <v>0</v>
      </c>
      <c r="P28" s="33">
        <v>0</v>
      </c>
      <c r="Q28" s="136"/>
    </row>
    <row r="29" spans="1:17" ht="15" thickBot="1" x14ac:dyDescent="0.35">
      <c r="A29" s="12">
        <f t="shared" si="0"/>
        <v>25</v>
      </c>
      <c r="B29" s="4"/>
      <c r="C29" s="20" t="s">
        <v>27</v>
      </c>
      <c r="D29" s="6"/>
      <c r="E29" s="18">
        <f t="shared" ref="E29:N29" si="5">SUM(E17:E28)</f>
        <v>2048259.42</v>
      </c>
      <c r="F29" s="368">
        <f t="shared" si="5"/>
        <v>2033356.1799999997</v>
      </c>
      <c r="G29" s="18">
        <f t="shared" si="5"/>
        <v>1872671</v>
      </c>
      <c r="H29" s="18">
        <f t="shared" si="5"/>
        <v>1952105.1</v>
      </c>
      <c r="I29" s="18">
        <f t="shared" si="5"/>
        <v>2135302</v>
      </c>
      <c r="J29" s="18">
        <f t="shared" si="5"/>
        <v>2125809.2400000002</v>
      </c>
      <c r="K29" s="18">
        <f t="shared" si="5"/>
        <v>2196181.6</v>
      </c>
      <c r="L29" s="18">
        <f t="shared" si="5"/>
        <v>1819925</v>
      </c>
      <c r="M29" s="18">
        <f t="shared" si="5"/>
        <v>2229040.5</v>
      </c>
      <c r="N29" s="18">
        <f t="shared" si="5"/>
        <v>2048494.24</v>
      </c>
      <c r="O29" s="18">
        <f t="shared" ref="O29:P29" si="6">SUM(O17:O28)</f>
        <v>1843412</v>
      </c>
      <c r="P29" s="18">
        <f t="shared" si="6"/>
        <v>1894392</v>
      </c>
      <c r="Q29" s="136"/>
    </row>
    <row r="30" spans="1:17" ht="15" thickTop="1" x14ac:dyDescent="0.3">
      <c r="A30" s="12">
        <f t="shared" si="0"/>
        <v>26</v>
      </c>
      <c r="B30" s="8"/>
      <c r="C30" s="9" t="s">
        <v>28</v>
      </c>
      <c r="D30" s="10"/>
      <c r="E30" s="25">
        <v>107549</v>
      </c>
      <c r="F30" s="378">
        <v>88807.14999999998</v>
      </c>
      <c r="G30" s="25">
        <v>129179</v>
      </c>
      <c r="H30" s="25">
        <v>65011.5</v>
      </c>
      <c r="I30" s="25">
        <v>83422</v>
      </c>
      <c r="J30" s="25">
        <v>34025</v>
      </c>
      <c r="K30" s="25">
        <v>134465.74000000005</v>
      </c>
      <c r="L30" s="25">
        <v>162585.42000000004</v>
      </c>
      <c r="M30" s="25">
        <v>231405</v>
      </c>
      <c r="N30" s="36">
        <v>210884.04</v>
      </c>
      <c r="O30" s="36">
        <v>132513</v>
      </c>
      <c r="P30" s="36">
        <v>55458</v>
      </c>
    </row>
    <row r="31" spans="1:17" x14ac:dyDescent="0.3">
      <c r="A31" s="12">
        <f t="shared" si="0"/>
        <v>27</v>
      </c>
      <c r="B31" s="8"/>
      <c r="C31" s="9" t="s">
        <v>29</v>
      </c>
      <c r="D31" s="10"/>
      <c r="E31" s="14">
        <v>0</v>
      </c>
      <c r="F31" s="36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36">
        <v>0</v>
      </c>
      <c r="O31" s="36">
        <v>0</v>
      </c>
      <c r="P31" s="36">
        <v>0</v>
      </c>
    </row>
    <row r="32" spans="1:17" ht="15" thickBot="1" x14ac:dyDescent="0.35">
      <c r="A32" s="12">
        <f t="shared" si="0"/>
        <v>28</v>
      </c>
      <c r="B32" s="4"/>
      <c r="C32" s="20" t="s">
        <v>30</v>
      </c>
      <c r="D32" s="6"/>
      <c r="E32" s="18">
        <f t="shared" ref="E32:N32" si="7">E30+E31</f>
        <v>107549</v>
      </c>
      <c r="F32" s="368">
        <f t="shared" si="7"/>
        <v>88807.14999999998</v>
      </c>
      <c r="G32" s="18">
        <f t="shared" si="7"/>
        <v>129179</v>
      </c>
      <c r="H32" s="18">
        <f t="shared" si="7"/>
        <v>65011.5</v>
      </c>
      <c r="I32" s="18">
        <f t="shared" si="7"/>
        <v>83422</v>
      </c>
      <c r="J32" s="18">
        <f t="shared" si="7"/>
        <v>34025</v>
      </c>
      <c r="K32" s="18">
        <f t="shared" si="7"/>
        <v>134465.74000000005</v>
      </c>
      <c r="L32" s="18">
        <f t="shared" si="7"/>
        <v>162585.42000000004</v>
      </c>
      <c r="M32" s="18">
        <f t="shared" si="7"/>
        <v>231405</v>
      </c>
      <c r="N32" s="18">
        <f t="shared" si="7"/>
        <v>210884.04</v>
      </c>
      <c r="O32" s="18">
        <f t="shared" ref="O32:P32" si="8">O30+O31</f>
        <v>132513</v>
      </c>
      <c r="P32" s="18">
        <f t="shared" si="8"/>
        <v>55458</v>
      </c>
    </row>
    <row r="33" spans="1:16" ht="15.6" thickTop="1" thickBot="1" x14ac:dyDescent="0.35">
      <c r="A33" s="12">
        <f t="shared" si="0"/>
        <v>29</v>
      </c>
      <c r="B33" s="8"/>
      <c r="C33" s="9" t="s">
        <v>31</v>
      </c>
      <c r="D33" s="10"/>
      <c r="E33" s="362">
        <f>ROUND((E5)*0.0305/12,2)</f>
        <v>833031.46</v>
      </c>
      <c r="F33" s="362">
        <f t="shared" ref="F33:P33" si="9">ROUND((F5)*0.0305/12,2)</f>
        <v>833057.08</v>
      </c>
      <c r="G33" s="362">
        <f t="shared" si="9"/>
        <v>833057.08</v>
      </c>
      <c r="H33" s="362">
        <f t="shared" si="9"/>
        <v>833783.14</v>
      </c>
      <c r="I33" s="362">
        <f t="shared" si="9"/>
        <v>835228.32</v>
      </c>
      <c r="J33" s="362">
        <f t="shared" si="9"/>
        <v>835228.58</v>
      </c>
      <c r="K33" s="362">
        <f t="shared" si="9"/>
        <v>835228.58</v>
      </c>
      <c r="L33" s="362">
        <f t="shared" si="9"/>
        <v>833573.78</v>
      </c>
      <c r="M33" s="362">
        <f t="shared" si="9"/>
        <v>833578.27</v>
      </c>
      <c r="N33" s="362">
        <f t="shared" si="9"/>
        <v>833613.09</v>
      </c>
      <c r="O33" s="362">
        <f t="shared" si="9"/>
        <v>833827.47</v>
      </c>
      <c r="P33" s="362">
        <f t="shared" si="9"/>
        <v>833857.84</v>
      </c>
    </row>
    <row r="34" spans="1:16" x14ac:dyDescent="0.3">
      <c r="A34" s="12">
        <f t="shared" si="0"/>
        <v>30</v>
      </c>
      <c r="B34" s="8"/>
      <c r="C34" s="9" t="s">
        <v>32</v>
      </c>
      <c r="D34" s="10"/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36">
        <v>0</v>
      </c>
      <c r="O34" s="36">
        <v>0</v>
      </c>
      <c r="P34" s="36">
        <v>0</v>
      </c>
    </row>
    <row r="35" spans="1:16" x14ac:dyDescent="0.3">
      <c r="A35" s="12">
        <f t="shared" si="0"/>
        <v>31</v>
      </c>
      <c r="B35" s="8"/>
      <c r="C35" s="9" t="s">
        <v>33</v>
      </c>
      <c r="D35" s="10"/>
      <c r="E35" s="14">
        <v>17587.400000000001</v>
      </c>
      <c r="F35" s="14">
        <f>ROUND((F5)*('Property Tax'!$B$1*'Property Tax'!$B$3*'Property Tax'!$B$5)/12,0)</f>
        <v>17047</v>
      </c>
      <c r="G35" s="14">
        <f>ROUND((G5)*('Property Tax'!$B$1*'Property Tax'!$B$3*'Property Tax'!$B$5)/12,0)</f>
        <v>17047</v>
      </c>
      <c r="H35" s="14">
        <f>ROUND((H5)*('Property Tax'!$B$1*'Property Tax'!$B$3*'Property Tax'!$B$5)/12,0)</f>
        <v>17062</v>
      </c>
      <c r="I35" s="14">
        <f>ROUND((I5)*('Property Tax'!$B$1*'Property Tax'!$B$3*'Property Tax'!$B$5)/12,0)</f>
        <v>17091</v>
      </c>
      <c r="J35" s="14">
        <f>ROUND((J5)*('Property Tax'!$B$1*'Property Tax'!$B$3*'Property Tax'!$B$5)/12,0)</f>
        <v>17091</v>
      </c>
      <c r="K35" s="14">
        <f>ROUND((K5)*('Property Tax'!$B$1*'Property Tax'!$B$3*'Property Tax'!$B$5)/12,0)</f>
        <v>17091</v>
      </c>
      <c r="L35" s="14">
        <f>ROUND((L5)*('Property Tax'!$B$1*'Property Tax'!$B$3*'Property Tax'!$B$5)/12,0)</f>
        <v>17057</v>
      </c>
      <c r="M35" s="14">
        <f>ROUND((M5)*('Property Tax'!$B$1*'Property Tax'!$B$3*'Property Tax'!$B$5)/12,0)</f>
        <v>17057</v>
      </c>
      <c r="N35" s="14">
        <f>ROUND((N5)*('Property Tax'!$B$1*'Property Tax'!$B$3*'Property Tax'!$B$5)/12,0)</f>
        <v>17058</v>
      </c>
      <c r="O35" s="14">
        <f>ROUND((O5)*('Property Tax'!$B$1*'Property Tax'!$B$3*'Property Tax'!$B$5)/12,0)</f>
        <v>17063</v>
      </c>
      <c r="P35" s="14">
        <f>ROUND((P5)*('Property Tax'!$B$1*'Property Tax'!$B$3*'Property Tax'!$B$5)/12,0)</f>
        <v>17063</v>
      </c>
    </row>
    <row r="36" spans="1:16" ht="15" thickBot="1" x14ac:dyDescent="0.35">
      <c r="A36" s="12">
        <f t="shared" si="0"/>
        <v>32</v>
      </c>
      <c r="B36" s="4"/>
      <c r="C36" s="20" t="s">
        <v>34</v>
      </c>
      <c r="D36" s="6"/>
      <c r="E36" s="86">
        <f t="shared" ref="E36:N36" si="10">E33+E34+E35</f>
        <v>850618.86</v>
      </c>
      <c r="F36" s="86">
        <f t="shared" si="10"/>
        <v>850104.08</v>
      </c>
      <c r="G36" s="86">
        <f t="shared" si="10"/>
        <v>850104.08</v>
      </c>
      <c r="H36" s="86">
        <f t="shared" si="10"/>
        <v>850845.14</v>
      </c>
      <c r="I36" s="86">
        <f t="shared" si="10"/>
        <v>852319.32</v>
      </c>
      <c r="J36" s="86">
        <f t="shared" si="10"/>
        <v>852319.58</v>
      </c>
      <c r="K36" s="86">
        <f t="shared" si="10"/>
        <v>852319.58</v>
      </c>
      <c r="L36" s="86">
        <f t="shared" si="10"/>
        <v>850630.78</v>
      </c>
      <c r="M36" s="86">
        <f t="shared" si="10"/>
        <v>850635.27</v>
      </c>
      <c r="N36" s="86">
        <f t="shared" si="10"/>
        <v>850671.09</v>
      </c>
      <c r="O36" s="86">
        <f t="shared" ref="O36:P36" si="11">O33+O34+O35</f>
        <v>850890.47</v>
      </c>
      <c r="P36" s="86">
        <f t="shared" si="11"/>
        <v>850920.84</v>
      </c>
    </row>
    <row r="37" spans="1:16" x14ac:dyDescent="0.3">
      <c r="A37" s="12">
        <f t="shared" si="0"/>
        <v>33</v>
      </c>
      <c r="B37" s="4"/>
      <c r="C37" s="20" t="s">
        <v>35</v>
      </c>
      <c r="D37" s="6"/>
      <c r="E37" s="116">
        <f t="shared" ref="E37:N37" si="12">E36+E32+E29</f>
        <v>3006427.28</v>
      </c>
      <c r="F37" s="116">
        <f t="shared" si="12"/>
        <v>2972267.4099999997</v>
      </c>
      <c r="G37" s="116">
        <f t="shared" si="12"/>
        <v>2851954.08</v>
      </c>
      <c r="H37" s="116">
        <f>H36+H32+H29-1</f>
        <v>2867960.74</v>
      </c>
      <c r="I37" s="116">
        <f>I36+I32+I29+1</f>
        <v>3071044.32</v>
      </c>
      <c r="J37" s="116">
        <f>J36+J32+J29</f>
        <v>3012153.8200000003</v>
      </c>
      <c r="K37" s="116">
        <f t="shared" si="12"/>
        <v>3182966.92</v>
      </c>
      <c r="L37" s="116">
        <f>L36+L32+L29+1</f>
        <v>2833142.2</v>
      </c>
      <c r="M37" s="116">
        <f t="shared" si="12"/>
        <v>3311080.77</v>
      </c>
      <c r="N37" s="116">
        <f t="shared" si="12"/>
        <v>3110049.37</v>
      </c>
      <c r="O37" s="116">
        <f t="shared" ref="O37:P37" si="13">O36+O32+O29</f>
        <v>2826815.4699999997</v>
      </c>
      <c r="P37" s="116">
        <f t="shared" si="13"/>
        <v>2800770.84</v>
      </c>
    </row>
    <row r="38" spans="1:16" x14ac:dyDescent="0.3">
      <c r="A38" s="12">
        <v>34</v>
      </c>
      <c r="C38" s="496" t="s">
        <v>1879</v>
      </c>
      <c r="D38" s="497"/>
      <c r="E38" s="498">
        <f t="shared" ref="E38:P38" si="14">SUM(E18:E28)+SUM(E30)+SUM(E33:E35)</f>
        <v>1217406.28</v>
      </c>
      <c r="F38" s="498">
        <f t="shared" si="14"/>
        <v>1191328.4099999999</v>
      </c>
      <c r="G38" s="498">
        <f t="shared" si="14"/>
        <v>1074613.08</v>
      </c>
      <c r="H38" s="498">
        <f t="shared" si="14"/>
        <v>1096036.74</v>
      </c>
      <c r="I38" s="498">
        <f t="shared" si="14"/>
        <v>1302631.3199999998</v>
      </c>
      <c r="J38" s="498">
        <f t="shared" si="14"/>
        <v>1252111.8199999998</v>
      </c>
      <c r="K38" s="498">
        <f t="shared" si="14"/>
        <v>1418553.92</v>
      </c>
      <c r="L38" s="498">
        <f t="shared" si="14"/>
        <v>1081969.2000000002</v>
      </c>
      <c r="M38" s="498">
        <f t="shared" si="14"/>
        <v>1568442.77</v>
      </c>
      <c r="N38" s="498">
        <f t="shared" si="14"/>
        <v>1373540.37</v>
      </c>
      <c r="O38" s="498">
        <f t="shared" si="14"/>
        <v>1097935.47</v>
      </c>
      <c r="P38" s="521">
        <f t="shared" si="14"/>
        <v>1080528.8399999999</v>
      </c>
    </row>
    <row r="39" spans="1:16" ht="15" thickBot="1" x14ac:dyDescent="0.35">
      <c r="A39" s="12">
        <v>35</v>
      </c>
      <c r="C39" s="522" t="s">
        <v>1880</v>
      </c>
      <c r="D39" s="523">
        <f>('3.15 '!O42)-1</f>
        <v>5.4250000000000131E-3</v>
      </c>
      <c r="E39" s="524">
        <f>ROUND(E38*$D$39,0)</f>
        <v>6604</v>
      </c>
      <c r="F39" s="524">
        <f t="shared" ref="F39:P39" si="15">ROUND(F38*$D$39,0)</f>
        <v>6463</v>
      </c>
      <c r="G39" s="524">
        <f t="shared" si="15"/>
        <v>5830</v>
      </c>
      <c r="H39" s="524">
        <f t="shared" si="15"/>
        <v>5946</v>
      </c>
      <c r="I39" s="524">
        <f t="shared" si="15"/>
        <v>7067</v>
      </c>
      <c r="J39" s="524">
        <f t="shared" si="15"/>
        <v>6793</v>
      </c>
      <c r="K39" s="524">
        <f t="shared" si="15"/>
        <v>7696</v>
      </c>
      <c r="L39" s="524">
        <f t="shared" si="15"/>
        <v>5870</v>
      </c>
      <c r="M39" s="524">
        <f t="shared" si="15"/>
        <v>8509</v>
      </c>
      <c r="N39" s="524">
        <f t="shared" si="15"/>
        <v>7451</v>
      </c>
      <c r="O39" s="524">
        <f t="shared" si="15"/>
        <v>5956</v>
      </c>
      <c r="P39" s="525">
        <f t="shared" si="15"/>
        <v>5862</v>
      </c>
    </row>
    <row r="40" spans="1:16" ht="15" thickBot="1" x14ac:dyDescent="0.35">
      <c r="A40" s="12">
        <v>36</v>
      </c>
      <c r="C40" s="522" t="s">
        <v>1882</v>
      </c>
      <c r="D40" s="537"/>
      <c r="E40" s="538">
        <f>E37+E39</f>
        <v>3013031.28</v>
      </c>
      <c r="F40" s="538">
        <f t="shared" ref="F40:P40" si="16">F37+F39</f>
        <v>2978730.4099999997</v>
      </c>
      <c r="G40" s="538">
        <f t="shared" si="16"/>
        <v>2857784.08</v>
      </c>
      <c r="H40" s="538">
        <f t="shared" si="16"/>
        <v>2873906.74</v>
      </c>
      <c r="I40" s="538">
        <f t="shared" si="16"/>
        <v>3078111.32</v>
      </c>
      <c r="J40" s="538">
        <f t="shared" si="16"/>
        <v>3018946.8200000003</v>
      </c>
      <c r="K40" s="538">
        <f t="shared" si="16"/>
        <v>3190662.92</v>
      </c>
      <c r="L40" s="538">
        <f t="shared" si="16"/>
        <v>2839012.2</v>
      </c>
      <c r="M40" s="538">
        <f t="shared" si="16"/>
        <v>3319589.77</v>
      </c>
      <c r="N40" s="538">
        <f t="shared" si="16"/>
        <v>3117500.37</v>
      </c>
      <c r="O40" s="538">
        <f t="shared" si="16"/>
        <v>2832771.4699999997</v>
      </c>
      <c r="P40" s="538">
        <f t="shared" si="16"/>
        <v>2806632.84</v>
      </c>
    </row>
  </sheetData>
  <mergeCells count="2">
    <mergeCell ref="A2:A3"/>
    <mergeCell ref="E2:P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7" sqref="A17"/>
    </sheetView>
  </sheetViews>
  <sheetFormatPr defaultRowHeight="14.4" x14ac:dyDescent="0.3"/>
  <cols>
    <col min="1" max="1" width="32.44140625" customWidth="1"/>
  </cols>
  <sheetData>
    <row r="1" spans="1:2" x14ac:dyDescent="0.3">
      <c r="A1" s="82" t="s">
        <v>102</v>
      </c>
      <c r="B1" s="83">
        <v>2.0804E-2</v>
      </c>
    </row>
    <row r="2" spans="1:2" x14ac:dyDescent="0.3">
      <c r="A2" s="82"/>
      <c r="B2" s="82"/>
    </row>
    <row r="3" spans="1:2" x14ac:dyDescent="0.3">
      <c r="A3" s="82" t="s">
        <v>103</v>
      </c>
      <c r="B3" s="84">
        <v>0.6</v>
      </c>
    </row>
    <row r="4" spans="1:2" x14ac:dyDescent="0.3">
      <c r="A4" s="82"/>
      <c r="B4" s="82"/>
    </row>
    <row r="5" spans="1:2" x14ac:dyDescent="0.3">
      <c r="A5" s="82" t="s">
        <v>104</v>
      </c>
      <c r="B5" s="84">
        <v>0.05</v>
      </c>
    </row>
    <row r="36" spans="5:5" x14ac:dyDescent="0.3">
      <c r="E36" t="s">
        <v>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zoomScaleNormal="100" workbookViewId="0">
      <selection activeCell="G6" sqref="G6"/>
    </sheetView>
  </sheetViews>
  <sheetFormatPr defaultRowHeight="14.4" x14ac:dyDescent="0.3"/>
  <cols>
    <col min="1" max="1" width="31.88671875" customWidth="1"/>
  </cols>
  <sheetData>
    <row r="2" spans="1:16" x14ac:dyDescent="0.3">
      <c r="C2" s="27">
        <v>42370</v>
      </c>
      <c r="D2" s="27">
        <f>C2+31</f>
        <v>42401</v>
      </c>
      <c r="E2" s="27">
        <f t="shared" ref="E2:P2" si="0">D2+31</f>
        <v>42432</v>
      </c>
      <c r="F2" s="27">
        <f t="shared" si="0"/>
        <v>42463</v>
      </c>
      <c r="G2" s="27">
        <f t="shared" si="0"/>
        <v>42494</v>
      </c>
      <c r="H2" s="27">
        <f t="shared" si="0"/>
        <v>42525</v>
      </c>
      <c r="I2" s="27">
        <f t="shared" si="0"/>
        <v>42556</v>
      </c>
      <c r="J2" s="27">
        <f t="shared" si="0"/>
        <v>42587</v>
      </c>
      <c r="K2" s="27">
        <f t="shared" si="0"/>
        <v>42618</v>
      </c>
      <c r="L2" s="27">
        <f t="shared" si="0"/>
        <v>42649</v>
      </c>
      <c r="M2" s="27">
        <f t="shared" si="0"/>
        <v>42680</v>
      </c>
      <c r="N2" s="27">
        <f t="shared" si="0"/>
        <v>42711</v>
      </c>
      <c r="O2" s="27">
        <f t="shared" si="0"/>
        <v>42742</v>
      </c>
      <c r="P2" s="27">
        <f t="shared" si="0"/>
        <v>42773</v>
      </c>
    </row>
    <row r="3" spans="1:16" x14ac:dyDescent="0.3">
      <c r="A3" s="31" t="s">
        <v>39</v>
      </c>
      <c r="C3" s="42">
        <v>0.97399999999999998</v>
      </c>
      <c r="D3" s="42">
        <v>0.97199999999999998</v>
      </c>
      <c r="E3" s="42">
        <v>0.96599999999999997</v>
      </c>
      <c r="F3" s="42">
        <v>0.97</v>
      </c>
      <c r="G3" s="42">
        <v>0.97499999999999998</v>
      </c>
      <c r="H3" s="42">
        <v>0.88900000000000001</v>
      </c>
      <c r="I3" s="42">
        <v>0.84799999999999998</v>
      </c>
      <c r="J3" s="42">
        <v>0.86399999999999999</v>
      </c>
      <c r="K3" s="42">
        <v>0.95499999999999996</v>
      </c>
      <c r="L3" s="42">
        <v>0.93400000000000005</v>
      </c>
      <c r="M3" s="42">
        <v>0.81599999999999995</v>
      </c>
      <c r="N3" s="42">
        <v>0.90500000000000003</v>
      </c>
      <c r="O3" s="358">
        <v>0.96200000000000008</v>
      </c>
      <c r="P3" s="358">
        <v>0.97099999999999997</v>
      </c>
    </row>
    <row r="4" spans="1:16" x14ac:dyDescent="0.3">
      <c r="A4" s="31" t="s">
        <v>40</v>
      </c>
      <c r="C4" s="41">
        <v>1.2999999999999999E-2</v>
      </c>
      <c r="D4" s="41">
        <v>1.0999999999999999E-2</v>
      </c>
      <c r="E4" s="41">
        <v>8.9999999999999993E-3</v>
      </c>
      <c r="F4" s="41">
        <v>1.0999999999999999E-2</v>
      </c>
      <c r="G4" s="41">
        <v>-8.9999999999999993E-3</v>
      </c>
      <c r="H4" s="41">
        <v>8.0000000000000002E-3</v>
      </c>
      <c r="I4" s="41">
        <v>8.9999999999999993E-3</v>
      </c>
      <c r="J4" s="41">
        <v>0.01</v>
      </c>
      <c r="K4" s="41">
        <v>8.9999999999999993E-3</v>
      </c>
      <c r="L4" s="41">
        <v>8.0000000000000002E-3</v>
      </c>
      <c r="M4" s="41">
        <v>8.9999999999999993E-3</v>
      </c>
      <c r="N4" s="41">
        <v>0.01</v>
      </c>
      <c r="O4" s="359">
        <v>0.01</v>
      </c>
      <c r="P4" s="359">
        <v>8.9999999999999993E-3</v>
      </c>
    </row>
    <row r="5" spans="1:16" x14ac:dyDescent="0.3">
      <c r="A5" s="31" t="s">
        <v>41</v>
      </c>
      <c r="C5" s="41">
        <v>0</v>
      </c>
      <c r="D5" s="41">
        <v>1E-3</v>
      </c>
      <c r="E5" s="41">
        <v>4.0000000000000001E-3</v>
      </c>
      <c r="F5" s="41">
        <v>0</v>
      </c>
      <c r="G5" s="41">
        <v>1E-3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359">
        <v>0</v>
      </c>
      <c r="P5" s="359">
        <v>0</v>
      </c>
    </row>
    <row r="6" spans="1:16" x14ac:dyDescent="0.3">
      <c r="A6" s="31" t="s">
        <v>42</v>
      </c>
      <c r="C6" s="41">
        <v>1.2999999999999999E-2</v>
      </c>
      <c r="D6" s="41">
        <v>1.6E-2</v>
      </c>
      <c r="E6" s="41">
        <v>2.1000000000000001E-2</v>
      </c>
      <c r="F6" s="41">
        <v>1.9E-2</v>
      </c>
      <c r="G6" s="41">
        <v>3.3000000000000002E-2</v>
      </c>
      <c r="H6" s="41">
        <v>0.10299999999999999</v>
      </c>
      <c r="I6" s="41">
        <v>0.14399999999999999</v>
      </c>
      <c r="J6" s="41">
        <v>0.126</v>
      </c>
      <c r="K6" s="41">
        <v>3.5999999999999997E-2</v>
      </c>
      <c r="L6" s="41">
        <v>5.7000000000000002E-2</v>
      </c>
      <c r="M6" s="41">
        <v>0.17499999999999999</v>
      </c>
      <c r="N6" s="41">
        <v>8.5000000000000006E-2</v>
      </c>
      <c r="O6" s="359">
        <v>2.8999999999999998E-2</v>
      </c>
      <c r="P6" s="359">
        <v>0.02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pane ySplit="8" topLeftCell="A25" activePane="bottomLeft" state="frozen"/>
      <selection activeCell="J30" sqref="J30"/>
      <selection pane="bottomLeft" activeCell="O31" sqref="O31"/>
    </sheetView>
  </sheetViews>
  <sheetFormatPr defaultColWidth="8.88671875" defaultRowHeight="13.2" x14ac:dyDescent="0.25"/>
  <cols>
    <col min="1" max="1" width="10.6640625" style="402" customWidth="1"/>
    <col min="2" max="2" width="5" style="401" bestFit="1" customWidth="1"/>
    <col min="3" max="3" width="0.33203125" style="402" customWidth="1"/>
    <col min="4" max="4" width="12.6640625" style="402" customWidth="1"/>
    <col min="5" max="5" width="0.33203125" style="402" customWidth="1"/>
    <col min="6" max="6" width="15.6640625" style="402" customWidth="1"/>
    <col min="7" max="7" width="0.33203125" style="402" customWidth="1"/>
    <col min="8" max="8" width="12.88671875" style="402" customWidth="1"/>
    <col min="9" max="9" width="0.33203125" style="402" customWidth="1"/>
    <col min="10" max="10" width="12.6640625" style="402" customWidth="1"/>
    <col min="11" max="11" width="3.6640625" style="402" customWidth="1"/>
    <col min="12" max="12" width="0.33203125" style="402" customWidth="1"/>
    <col min="13" max="13" width="12.6640625" style="402" customWidth="1"/>
    <col min="14" max="14" width="0.33203125" style="402" customWidth="1"/>
    <col min="15" max="15" width="9.6640625" style="402" customWidth="1"/>
    <col min="16" max="16" width="0.33203125" style="402" customWidth="1"/>
    <col min="17" max="17" width="3.6640625" style="402" customWidth="1"/>
    <col min="18" max="18" width="0.33203125" style="402" customWidth="1"/>
    <col min="19" max="19" width="12" style="402" bestFit="1" customWidth="1"/>
    <col min="20" max="20" width="2.33203125" style="402" customWidth="1"/>
    <col min="21" max="16384" width="8.88671875" style="402"/>
  </cols>
  <sheetData>
    <row r="1" spans="2:20" ht="15" customHeight="1" x14ac:dyDescent="0.25"/>
    <row r="2" spans="2:20" x14ac:dyDescent="0.25">
      <c r="Q2" s="402" t="s">
        <v>1847</v>
      </c>
    </row>
    <row r="4" spans="2:20" x14ac:dyDescent="0.25">
      <c r="F4" s="403" t="s">
        <v>1848</v>
      </c>
    </row>
    <row r="5" spans="2:20" x14ac:dyDescent="0.25">
      <c r="H5" s="402" t="s">
        <v>1849</v>
      </c>
    </row>
    <row r="6" spans="2:20" x14ac:dyDescent="0.25">
      <c r="H6" s="404" t="s">
        <v>1850</v>
      </c>
    </row>
    <row r="8" spans="2:20" x14ac:dyDescent="0.25">
      <c r="J8" s="401" t="s">
        <v>13</v>
      </c>
    </row>
    <row r="9" spans="2:20" ht="13.8" thickBot="1" x14ac:dyDescent="0.3">
      <c r="B9" s="405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</row>
    <row r="10" spans="2:20" ht="30" customHeight="1" thickBot="1" x14ac:dyDescent="0.3">
      <c r="B10" s="407" t="s">
        <v>1851</v>
      </c>
      <c r="C10" s="408"/>
      <c r="D10" s="409" t="s">
        <v>1852</v>
      </c>
      <c r="E10" s="410"/>
      <c r="F10" s="411" t="s">
        <v>1853</v>
      </c>
      <c r="G10" s="410"/>
      <c r="H10" s="411" t="s">
        <v>1854</v>
      </c>
      <c r="I10" s="410"/>
      <c r="J10" s="411" t="s">
        <v>1855</v>
      </c>
      <c r="K10" s="412"/>
      <c r="L10" s="410"/>
      <c r="M10" s="411" t="s">
        <v>1856</v>
      </c>
      <c r="N10" s="413"/>
      <c r="O10" s="414" t="s">
        <v>1857</v>
      </c>
      <c r="P10" s="415"/>
      <c r="Q10" s="416"/>
      <c r="R10" s="413"/>
      <c r="S10" s="417" t="s">
        <v>1858</v>
      </c>
      <c r="T10" s="418"/>
    </row>
    <row r="11" spans="2:20" ht="30" customHeight="1" thickBot="1" x14ac:dyDescent="0.3">
      <c r="B11" s="419"/>
      <c r="C11" s="420"/>
      <c r="D11" s="421"/>
      <c r="E11" s="420"/>
      <c r="F11" s="422" t="s">
        <v>1859</v>
      </c>
      <c r="G11" s="420"/>
      <c r="H11" s="421"/>
      <c r="I11" s="420"/>
      <c r="J11" s="421"/>
      <c r="K11" s="423"/>
      <c r="L11" s="420"/>
      <c r="M11" s="421"/>
      <c r="N11" s="424"/>
      <c r="O11" s="425"/>
      <c r="P11" s="426"/>
      <c r="Q11" s="427"/>
      <c r="R11" s="424"/>
      <c r="S11" s="428"/>
      <c r="T11" s="418"/>
    </row>
    <row r="12" spans="2:20" ht="12.75" customHeight="1" x14ac:dyDescent="0.25">
      <c r="B12" s="429"/>
      <c r="C12" s="430"/>
      <c r="D12" s="431"/>
      <c r="E12" s="430"/>
      <c r="F12" s="431"/>
      <c r="G12" s="430"/>
      <c r="H12" s="431"/>
      <c r="I12" s="430"/>
      <c r="J12" s="431"/>
      <c r="K12" s="432"/>
      <c r="L12" s="430"/>
      <c r="M12" s="431"/>
      <c r="N12" s="430"/>
      <c r="O12" s="431"/>
      <c r="P12" s="430"/>
      <c r="Q12" s="431"/>
      <c r="R12" s="430"/>
      <c r="S12" s="433"/>
      <c r="T12" s="406"/>
    </row>
    <row r="13" spans="2:20" ht="15" customHeight="1" x14ac:dyDescent="0.3">
      <c r="B13" s="434">
        <v>1</v>
      </c>
      <c r="C13" s="424"/>
      <c r="D13" s="427" t="s">
        <v>1860</v>
      </c>
      <c r="E13" s="424"/>
      <c r="F13" s="435">
        <v>648913758</v>
      </c>
      <c r="G13" s="424"/>
      <c r="H13" s="436">
        <f>ROUND(F13/$F$18,4)</f>
        <v>0.54449999999999998</v>
      </c>
      <c r="I13" s="424"/>
      <c r="J13" s="437">
        <v>5.3199999999999997E-2</v>
      </c>
      <c r="K13" s="438"/>
      <c r="L13" s="424"/>
      <c r="M13" s="436">
        <f>ROUND(H13*J13,4)</f>
        <v>2.9000000000000001E-2</v>
      </c>
      <c r="N13" s="424"/>
      <c r="O13" s="439">
        <f>O42</f>
        <v>1.005425</v>
      </c>
      <c r="P13" s="424"/>
      <c r="Q13" s="440"/>
      <c r="R13" s="424"/>
      <c r="S13" s="441">
        <f>ROUND(M13*O13,6)</f>
        <v>2.9156999999999999E-2</v>
      </c>
      <c r="T13" s="442"/>
    </row>
    <row r="14" spans="2:20" ht="14.4" x14ac:dyDescent="0.3">
      <c r="B14" s="434">
        <f>+B13+1</f>
        <v>2</v>
      </c>
      <c r="C14" s="424"/>
      <c r="D14" s="427" t="s">
        <v>1861</v>
      </c>
      <c r="E14" s="424"/>
      <c r="F14" s="435">
        <v>0</v>
      </c>
      <c r="G14" s="424"/>
      <c r="H14" s="436">
        <f>ROUND(F14/$F$18,4)</f>
        <v>0</v>
      </c>
      <c r="I14" s="424"/>
      <c r="J14" s="437">
        <v>8.0000000000000002E-3</v>
      </c>
      <c r="K14" s="438"/>
      <c r="L14" s="424"/>
      <c r="M14" s="436">
        <f>ROUND(H14*J14,4)</f>
        <v>0</v>
      </c>
      <c r="N14" s="424"/>
      <c r="O14" s="439">
        <f>O42</f>
        <v>1.005425</v>
      </c>
      <c r="P14" s="424"/>
      <c r="Q14" s="427"/>
      <c r="R14" s="424"/>
      <c r="S14" s="441">
        <f>ROUND(M14*O14,6)</f>
        <v>0</v>
      </c>
      <c r="T14" s="442"/>
    </row>
    <row r="15" spans="2:20" ht="25.8" x14ac:dyDescent="0.3">
      <c r="B15" s="434">
        <f>+B14+1</f>
        <v>3</v>
      </c>
      <c r="C15" s="424"/>
      <c r="D15" s="443" t="s">
        <v>1862</v>
      </c>
      <c r="E15" s="424"/>
      <c r="F15" s="435">
        <v>46105009</v>
      </c>
      <c r="G15" s="424"/>
      <c r="H15" s="436">
        <f>ROUND(F15/$F$18,4)</f>
        <v>3.8699999999999998E-2</v>
      </c>
      <c r="I15" s="424"/>
      <c r="J15" s="437">
        <v>1.95E-2</v>
      </c>
      <c r="K15" s="438"/>
      <c r="L15" s="424"/>
      <c r="M15" s="436">
        <f>ROUND(H15*J15,4)</f>
        <v>8.0000000000000004E-4</v>
      </c>
      <c r="N15" s="424"/>
      <c r="O15" s="439">
        <f>O42</f>
        <v>1.005425</v>
      </c>
      <c r="P15" s="424"/>
      <c r="Q15" s="427"/>
      <c r="R15" s="424"/>
      <c r="S15" s="441">
        <f>ROUND(M15*O15,6)</f>
        <v>8.0400000000000003E-4</v>
      </c>
      <c r="T15" s="442"/>
    </row>
    <row r="16" spans="2:20" ht="14.4" x14ac:dyDescent="0.3">
      <c r="B16" s="434">
        <f>+B15+1</f>
        <v>4</v>
      </c>
      <c r="C16" s="424"/>
      <c r="D16" s="427" t="s">
        <v>1863</v>
      </c>
      <c r="E16" s="424"/>
      <c r="F16" s="435">
        <v>496766726</v>
      </c>
      <c r="G16" s="424"/>
      <c r="H16" s="436">
        <f>ROUND(F16/$F$18,4)</f>
        <v>0.4168</v>
      </c>
      <c r="I16" s="424"/>
      <c r="J16" s="444">
        <v>0.1031</v>
      </c>
      <c r="K16" s="445" t="s">
        <v>1864</v>
      </c>
      <c r="L16" s="424"/>
      <c r="M16" s="436">
        <f>ROUND(H16*J16,4)</f>
        <v>4.2999999999999997E-2</v>
      </c>
      <c r="N16" s="424"/>
      <c r="O16" s="446">
        <f>S42</f>
        <v>1.6433409999999999</v>
      </c>
      <c r="P16" s="424"/>
      <c r="Q16" s="447"/>
      <c r="R16" s="424"/>
      <c r="S16" s="441">
        <f>ROUND(M16*O16,6)</f>
        <v>7.0664000000000005E-2</v>
      </c>
      <c r="T16" s="442"/>
    </row>
    <row r="17" spans="2:21" ht="14.4" x14ac:dyDescent="0.3">
      <c r="B17" s="434"/>
      <c r="C17" s="424"/>
      <c r="D17" s="427"/>
      <c r="E17" s="424"/>
      <c r="F17" s="435"/>
      <c r="G17" s="424"/>
      <c r="H17" s="448"/>
      <c r="I17" s="424"/>
      <c r="J17" s="449"/>
      <c r="K17" s="438"/>
      <c r="L17" s="424"/>
      <c r="M17" s="448"/>
      <c r="N17" s="424"/>
      <c r="O17" s="425"/>
      <c r="P17" s="424"/>
      <c r="Q17" s="427"/>
      <c r="R17" s="424"/>
      <c r="S17" s="450"/>
      <c r="T17" s="451"/>
    </row>
    <row r="18" spans="2:21" ht="14.4" x14ac:dyDescent="0.3">
      <c r="B18" s="434">
        <f>+B16+1</f>
        <v>5</v>
      </c>
      <c r="C18" s="424"/>
      <c r="D18" s="427" t="s">
        <v>1865</v>
      </c>
      <c r="E18" s="424"/>
      <c r="F18" s="452">
        <f>SUM(F13:F16)</f>
        <v>1191785493</v>
      </c>
      <c r="G18" s="424"/>
      <c r="H18" s="453">
        <f>SUM(H13:H16)</f>
        <v>1</v>
      </c>
      <c r="I18" s="424"/>
      <c r="J18" s="449"/>
      <c r="K18" s="438"/>
      <c r="L18" s="424"/>
      <c r="M18" s="453" t="s">
        <v>13</v>
      </c>
      <c r="N18" s="424"/>
      <c r="O18" s="427"/>
      <c r="P18" s="424"/>
      <c r="Q18" s="427"/>
      <c r="R18" s="424"/>
      <c r="S18" s="454">
        <f>SUM(S13:S17)</f>
        <v>0.10062500000000001</v>
      </c>
      <c r="T18" s="455"/>
    </row>
    <row r="19" spans="2:21" ht="14.4" x14ac:dyDescent="0.3">
      <c r="B19" s="434"/>
      <c r="C19" s="424"/>
      <c r="D19" s="427"/>
      <c r="E19" s="424"/>
      <c r="F19" s="427"/>
      <c r="G19" s="424"/>
      <c r="H19" s="427"/>
      <c r="I19" s="424"/>
      <c r="J19" s="427"/>
      <c r="K19" s="438"/>
      <c r="L19" s="424"/>
      <c r="M19" s="427"/>
      <c r="N19" s="424"/>
      <c r="O19" s="427"/>
      <c r="P19" s="424"/>
      <c r="Q19" s="427"/>
      <c r="R19" s="424"/>
      <c r="S19" s="456"/>
      <c r="T19" s="406"/>
    </row>
    <row r="20" spans="2:21" ht="15" thickBot="1" x14ac:dyDescent="0.35">
      <c r="B20" s="457"/>
      <c r="C20" s="458"/>
      <c r="D20" s="459"/>
      <c r="E20" s="458"/>
      <c r="F20" s="459"/>
      <c r="G20" s="458"/>
      <c r="H20" s="459"/>
      <c r="I20" s="458"/>
      <c r="J20" s="459"/>
      <c r="K20" s="460"/>
      <c r="L20" s="458"/>
      <c r="M20" s="459"/>
      <c r="N20" s="458"/>
      <c r="O20" s="459"/>
      <c r="P20" s="458"/>
      <c r="Q20" s="459"/>
      <c r="R20" s="458"/>
      <c r="S20" s="461"/>
      <c r="T20" s="406"/>
    </row>
    <row r="21" spans="2:21" hidden="1" x14ac:dyDescent="0.25">
      <c r="B21" s="462"/>
      <c r="C21" s="463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63"/>
      <c r="O21" s="406"/>
      <c r="P21" s="464"/>
      <c r="Q21" s="406"/>
      <c r="R21" s="406"/>
      <c r="S21" s="465"/>
      <c r="T21" s="406"/>
    </row>
    <row r="22" spans="2:21" ht="12" hidden="1" customHeight="1" x14ac:dyDescent="0.25">
      <c r="B22" s="462"/>
      <c r="C22" s="463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63"/>
      <c r="O22" s="406"/>
      <c r="P22" s="464"/>
      <c r="Q22" s="406"/>
      <c r="R22" s="406"/>
      <c r="S22" s="465"/>
      <c r="T22" s="406"/>
    </row>
    <row r="23" spans="2:21" s="468" customFormat="1" ht="12" customHeight="1" x14ac:dyDescent="0.25">
      <c r="B23" s="466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6"/>
      <c r="Q23" s="467"/>
      <c r="R23" s="467"/>
      <c r="S23" s="467"/>
      <c r="T23" s="467"/>
    </row>
    <row r="24" spans="2:21" s="468" customFormat="1" ht="12" customHeight="1" x14ac:dyDescent="0.25">
      <c r="B24" s="466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6"/>
      <c r="Q24" s="467"/>
      <c r="R24" s="467"/>
      <c r="S24" s="467"/>
      <c r="T24" s="467"/>
    </row>
    <row r="25" spans="2:21" s="468" customFormat="1" ht="12" customHeight="1" x14ac:dyDescent="0.25">
      <c r="B25" s="466"/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9" t="s">
        <v>1866</v>
      </c>
      <c r="P25" s="469"/>
      <c r="S25" s="469" t="s">
        <v>1867</v>
      </c>
      <c r="T25" s="467"/>
    </row>
    <row r="26" spans="2:21" ht="14.4" x14ac:dyDescent="0.3">
      <c r="B26" s="447">
        <v>6</v>
      </c>
      <c r="C26" s="427"/>
      <c r="D26" s="440" t="s">
        <v>1868</v>
      </c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70">
        <v>100</v>
      </c>
      <c r="P26" s="427"/>
      <c r="Q26" s="427"/>
      <c r="R26" s="427"/>
      <c r="S26" s="471">
        <f>O26</f>
        <v>100</v>
      </c>
      <c r="T26" s="427"/>
      <c r="U26" s="472"/>
    </row>
    <row r="27" spans="2:21" ht="14.4" x14ac:dyDescent="0.3">
      <c r="B27" s="447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2"/>
      <c r="S27" s="473"/>
      <c r="T27" s="472"/>
      <c r="U27" s="472"/>
    </row>
    <row r="28" spans="2:21" ht="14.4" x14ac:dyDescent="0.3">
      <c r="B28" s="447">
        <v>7</v>
      </c>
      <c r="C28" s="472"/>
      <c r="D28" s="474" t="s">
        <v>1869</v>
      </c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5">
        <v>0.34</v>
      </c>
      <c r="P28" s="472"/>
      <c r="Q28" s="472"/>
      <c r="R28" s="472"/>
      <c r="S28" s="473">
        <f>O28</f>
        <v>0.34</v>
      </c>
      <c r="T28" s="472"/>
      <c r="U28" s="472"/>
    </row>
    <row r="29" spans="2:21" ht="14.4" x14ac:dyDescent="0.3">
      <c r="B29" s="447"/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3"/>
      <c r="T29" s="472"/>
      <c r="U29" s="472"/>
    </row>
    <row r="30" spans="2:21" ht="14.4" x14ac:dyDescent="0.3">
      <c r="B30" s="447">
        <v>8</v>
      </c>
      <c r="C30" s="472"/>
      <c r="D30" s="474" t="s">
        <v>1870</v>
      </c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>
        <v>0.1996</v>
      </c>
      <c r="P30" s="472"/>
      <c r="Q30" s="472"/>
      <c r="R30" s="472"/>
      <c r="S30" s="473">
        <f>O30</f>
        <v>0.1996</v>
      </c>
      <c r="T30" s="472"/>
      <c r="U30" s="472"/>
    </row>
    <row r="31" spans="2:21" ht="14.4" x14ac:dyDescent="0.3">
      <c r="B31" s="447"/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4" t="s">
        <v>13</v>
      </c>
      <c r="P31" s="472"/>
      <c r="Q31" s="472"/>
      <c r="R31" s="472"/>
      <c r="S31" s="473"/>
      <c r="T31" s="472"/>
      <c r="U31" s="472"/>
    </row>
    <row r="32" spans="2:21" ht="14.4" x14ac:dyDescent="0.3">
      <c r="B32" s="447">
        <v>9</v>
      </c>
      <c r="C32" s="472"/>
      <c r="D32" s="474" t="s">
        <v>1871</v>
      </c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5">
        <f>O26-O28-O30</f>
        <v>99.460399999999993</v>
      </c>
      <c r="P32" s="472"/>
      <c r="Q32" s="472"/>
      <c r="R32" s="472"/>
      <c r="S32" s="473">
        <f>S26-S28-S30</f>
        <v>99.460399999999993</v>
      </c>
      <c r="T32" s="472"/>
      <c r="U32" s="472"/>
    </row>
    <row r="33" spans="1:24" ht="14.4" x14ac:dyDescent="0.3">
      <c r="B33" s="447"/>
      <c r="C33" s="472"/>
      <c r="D33" s="474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3"/>
      <c r="T33" s="472"/>
      <c r="U33" s="472"/>
      <c r="X33" s="402" t="s">
        <v>13</v>
      </c>
    </row>
    <row r="34" spans="1:24" ht="14.4" x14ac:dyDescent="0.3">
      <c r="B34" s="447">
        <v>10</v>
      </c>
      <c r="C34" s="472"/>
      <c r="D34" s="476" t="s">
        <v>1872</v>
      </c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7"/>
      <c r="P34" s="472"/>
      <c r="Q34" s="472"/>
      <c r="R34" s="472"/>
      <c r="S34" s="473">
        <f>ROUND(S32*0.058742,6)</f>
        <v>5.8425029999999998</v>
      </c>
      <c r="T34" s="472"/>
      <c r="U34" s="472"/>
    </row>
    <row r="35" spans="1:24" ht="14.4" x14ac:dyDescent="0.3">
      <c r="B35" s="447"/>
      <c r="C35" s="472"/>
      <c r="D35" s="474"/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8"/>
      <c r="P35" s="472"/>
      <c r="Q35" s="472"/>
      <c r="R35" s="472"/>
      <c r="S35" s="473"/>
      <c r="T35" s="472"/>
      <c r="U35" s="472"/>
    </row>
    <row r="36" spans="1:24" ht="14.4" x14ac:dyDescent="0.3">
      <c r="B36" s="447">
        <v>11</v>
      </c>
      <c r="C36" s="472"/>
      <c r="D36" s="476" t="s">
        <v>1873</v>
      </c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8"/>
      <c r="P36" s="472"/>
      <c r="Q36" s="472"/>
      <c r="R36" s="472"/>
      <c r="S36" s="473">
        <f>S32-S34</f>
        <v>93.617896999999999</v>
      </c>
      <c r="T36" s="472"/>
      <c r="U36" s="472"/>
    </row>
    <row r="37" spans="1:24" ht="14.4" x14ac:dyDescent="0.3">
      <c r="B37" s="447"/>
      <c r="C37" s="472"/>
      <c r="D37" s="474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3"/>
      <c r="T37" s="472"/>
      <c r="U37" s="472"/>
    </row>
    <row r="38" spans="1:24" ht="14.4" x14ac:dyDescent="0.3">
      <c r="B38" s="447">
        <f>B36+1</f>
        <v>12</v>
      </c>
      <c r="C38" s="472"/>
      <c r="D38" s="476" t="s">
        <v>1874</v>
      </c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9">
        <f>S36*0.35</f>
        <v>32.766263949999995</v>
      </c>
      <c r="T38" s="472"/>
      <c r="U38" s="472"/>
    </row>
    <row r="39" spans="1:24" ht="14.4" x14ac:dyDescent="0.3">
      <c r="B39" s="447"/>
      <c r="C39" s="472"/>
      <c r="D39" s="476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3"/>
      <c r="T39" s="472"/>
      <c r="U39" s="472"/>
    </row>
    <row r="40" spans="1:24" ht="14.4" x14ac:dyDescent="0.3">
      <c r="B40" s="447">
        <f>B38+1</f>
        <v>13</v>
      </c>
      <c r="C40" s="472"/>
      <c r="D40" s="476" t="s">
        <v>1875</v>
      </c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3">
        <f>S36-S38</f>
        <v>60.851633050000004</v>
      </c>
      <c r="T40" s="472"/>
      <c r="U40" s="472"/>
    </row>
    <row r="41" spans="1:24" ht="14.4" x14ac:dyDescent="0.3">
      <c r="B41" s="447"/>
      <c r="C41" s="472"/>
      <c r="D41" s="476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80"/>
      <c r="T41" s="472"/>
      <c r="U41" s="472"/>
    </row>
    <row r="42" spans="1:24" ht="14.4" x14ac:dyDescent="0.3">
      <c r="B42" s="447">
        <f>B40+1</f>
        <v>14</v>
      </c>
      <c r="C42" s="472"/>
      <c r="D42" s="476" t="s">
        <v>1876</v>
      </c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81">
        <f>ROUND(100/O32,6)</f>
        <v>1.005425</v>
      </c>
      <c r="P42" s="472"/>
      <c r="Q42" s="472"/>
      <c r="R42" s="472"/>
      <c r="S42" s="482">
        <f>ROUND(100/S40,6)</f>
        <v>1.6433409999999999</v>
      </c>
      <c r="T42" s="472"/>
      <c r="U42" s="472"/>
    </row>
    <row r="43" spans="1:24" ht="14.4" x14ac:dyDescent="0.3">
      <c r="B43" s="447"/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80"/>
      <c r="T43" s="472"/>
      <c r="U43" s="472"/>
    </row>
    <row r="44" spans="1:24" x14ac:dyDescent="0.25">
      <c r="A44" s="404"/>
      <c r="B44" s="483"/>
      <c r="C44" s="476"/>
      <c r="D44" s="476"/>
      <c r="E44" s="476"/>
      <c r="F44" s="476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476"/>
      <c r="R44" s="476"/>
      <c r="S44" s="484"/>
      <c r="T44" s="476"/>
      <c r="U44" s="476"/>
      <c r="V44" s="404"/>
      <c r="W44" s="404"/>
    </row>
    <row r="45" spans="1:24" x14ac:dyDescent="0.25">
      <c r="A45" s="477" t="s">
        <v>13</v>
      </c>
      <c r="B45" s="483"/>
      <c r="C45" s="476"/>
      <c r="D45" s="404" t="s">
        <v>13</v>
      </c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84"/>
      <c r="T45" s="476"/>
      <c r="U45" s="476"/>
      <c r="V45" s="404"/>
      <c r="W45" s="404"/>
    </row>
    <row r="46" spans="1:24" x14ac:dyDescent="0.25">
      <c r="A46" s="485" t="s">
        <v>13</v>
      </c>
      <c r="B46" s="486"/>
      <c r="C46" s="487" t="s">
        <v>1877</v>
      </c>
      <c r="D46" s="487" t="s">
        <v>13</v>
      </c>
      <c r="E46" s="487"/>
      <c r="F46" s="487"/>
      <c r="G46" s="487"/>
      <c r="H46" s="404"/>
      <c r="I46" s="404"/>
      <c r="J46" s="404"/>
      <c r="K46" s="404"/>
      <c r="L46" s="404"/>
      <c r="M46" s="404"/>
      <c r="N46" s="404"/>
      <c r="O46" s="476"/>
      <c r="P46" s="476"/>
      <c r="Q46" s="476"/>
      <c r="R46" s="476"/>
      <c r="S46" s="476"/>
      <c r="T46" s="476"/>
      <c r="U46" s="476"/>
      <c r="V46" s="404"/>
      <c r="W46" s="404"/>
    </row>
    <row r="47" spans="1:24" x14ac:dyDescent="0.25">
      <c r="B47" s="478"/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</row>
    <row r="48" spans="1:24" x14ac:dyDescent="0.25">
      <c r="B48" s="478"/>
      <c r="C48" s="472"/>
      <c r="D48" s="472"/>
      <c r="E48" s="472"/>
      <c r="F48" s="472"/>
      <c r="G48" s="472"/>
      <c r="H48" s="472"/>
      <c r="I48" s="488"/>
      <c r="J48" s="488" t="s">
        <v>1878</v>
      </c>
      <c r="K48" s="488"/>
      <c r="L48" s="488"/>
      <c r="M48" s="488"/>
      <c r="N48" s="488"/>
      <c r="O48" s="489"/>
      <c r="P48" s="490"/>
      <c r="Q48" s="488"/>
      <c r="R48" s="488"/>
      <c r="S48" s="488"/>
      <c r="T48" s="488"/>
      <c r="U48" s="491"/>
    </row>
    <row r="49" spans="2:21" x14ac:dyDescent="0.25">
      <c r="B49" s="478"/>
      <c r="C49" s="472"/>
      <c r="D49" s="472"/>
      <c r="E49" s="472"/>
      <c r="F49" s="472"/>
      <c r="G49" s="472"/>
      <c r="H49" s="472"/>
      <c r="I49" s="488"/>
      <c r="J49" s="488"/>
      <c r="K49" s="488"/>
      <c r="L49" s="488"/>
      <c r="M49" s="488"/>
      <c r="N49" s="488"/>
      <c r="O49" s="488"/>
      <c r="P49" s="490"/>
      <c r="Q49" s="488"/>
      <c r="R49" s="488"/>
      <c r="S49" s="488"/>
      <c r="T49" s="488"/>
      <c r="U49" s="491"/>
    </row>
    <row r="50" spans="2:21" x14ac:dyDescent="0.25">
      <c r="B50" s="478"/>
      <c r="C50" s="472"/>
      <c r="D50" s="472"/>
      <c r="E50" s="472"/>
      <c r="F50" s="472"/>
      <c r="G50" s="472"/>
      <c r="H50" s="472"/>
      <c r="I50" s="488"/>
      <c r="J50" s="488"/>
      <c r="K50" s="488"/>
      <c r="L50" s="488"/>
      <c r="M50" s="488"/>
      <c r="N50" s="488"/>
      <c r="O50" s="488"/>
      <c r="P50" s="490"/>
      <c r="Q50" s="488"/>
      <c r="R50" s="488"/>
      <c r="S50" s="488"/>
      <c r="T50" s="488"/>
      <c r="U50" s="491"/>
    </row>
    <row r="51" spans="2:21" x14ac:dyDescent="0.25">
      <c r="B51" s="478"/>
      <c r="C51" s="472"/>
      <c r="D51" s="472"/>
      <c r="E51" s="472"/>
      <c r="F51" s="472"/>
      <c r="G51" s="472"/>
      <c r="H51" s="472"/>
      <c r="I51" s="488"/>
      <c r="J51" s="488"/>
      <c r="K51" s="488"/>
      <c r="L51" s="488"/>
      <c r="M51" s="488"/>
      <c r="N51" s="488"/>
      <c r="O51" s="488"/>
      <c r="P51" s="490"/>
      <c r="Q51" s="488"/>
      <c r="R51" s="488"/>
      <c r="S51" s="488"/>
      <c r="T51" s="488"/>
      <c r="U51" s="491"/>
    </row>
    <row r="52" spans="2:21" x14ac:dyDescent="0.25">
      <c r="B52" s="478"/>
      <c r="C52" s="472"/>
      <c r="D52" s="472"/>
      <c r="E52" s="472"/>
      <c r="F52" s="472"/>
      <c r="G52" s="472"/>
      <c r="H52" s="472"/>
      <c r="I52" s="488"/>
      <c r="J52" s="488"/>
      <c r="K52" s="488"/>
      <c r="L52" s="488"/>
      <c r="M52" s="488"/>
      <c r="N52" s="488"/>
      <c r="O52" s="488"/>
      <c r="P52" s="490"/>
      <c r="Q52" s="488"/>
      <c r="R52" s="488"/>
      <c r="S52" s="488"/>
      <c r="T52" s="488"/>
      <c r="U52" s="491"/>
    </row>
    <row r="53" spans="2:21" x14ac:dyDescent="0.25">
      <c r="B53" s="478"/>
      <c r="C53" s="472"/>
      <c r="D53" s="472"/>
      <c r="E53" s="472"/>
      <c r="F53" s="472"/>
      <c r="G53" s="472"/>
      <c r="H53" s="472"/>
      <c r="I53" s="488"/>
      <c r="J53" s="488"/>
      <c r="K53" s="488"/>
      <c r="L53" s="488"/>
      <c r="M53" s="488"/>
      <c r="N53" s="488"/>
      <c r="O53" s="488"/>
      <c r="P53" s="490"/>
      <c r="Q53" s="488"/>
      <c r="R53" s="488"/>
      <c r="S53" s="488"/>
      <c r="T53" s="488"/>
      <c r="U53" s="491"/>
    </row>
    <row r="54" spans="2:21" x14ac:dyDescent="0.25">
      <c r="B54" s="478"/>
      <c r="C54" s="472"/>
      <c r="D54" s="472"/>
      <c r="E54" s="472"/>
      <c r="F54" s="472"/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  <c r="S54" s="472"/>
      <c r="T54" s="472"/>
      <c r="U54" s="472"/>
    </row>
    <row r="55" spans="2:21" x14ac:dyDescent="0.25">
      <c r="B55" s="492" t="s">
        <v>13</v>
      </c>
      <c r="C55" s="493"/>
      <c r="D55" s="488"/>
      <c r="E55" s="488"/>
      <c r="F55" s="488"/>
      <c r="G55" s="488"/>
      <c r="H55" s="488"/>
    </row>
    <row r="57" spans="2:21" x14ac:dyDescent="0.25">
      <c r="B57" s="493"/>
      <c r="C57" s="493"/>
      <c r="D57" s="488"/>
      <c r="E57" s="488"/>
      <c r="F57" s="488"/>
      <c r="G57" s="488"/>
      <c r="H57" s="488"/>
    </row>
    <row r="58" spans="2:21" x14ac:dyDescent="0.25">
      <c r="B58" s="478"/>
      <c r="C58" s="472"/>
      <c r="D58" s="472"/>
      <c r="E58" s="472"/>
      <c r="F58" s="472"/>
      <c r="G58" s="472"/>
      <c r="H58" s="472"/>
    </row>
  </sheetData>
  <printOptions horizontalCentered="1" verticalCentered="1"/>
  <pageMargins left="0" right="0" top="0" bottom="0.2" header="0" footer="0"/>
  <pageSetup scale="7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222EC-C989-4406-B67C-B2D64CAF1B24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83F87F-2BCD-4C2C-9DC3-0E30A4AF9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403558-9D8F-402E-843D-D3BC1CBEC3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Environmental</vt:lpstr>
      <vt:lpstr>IS</vt:lpstr>
      <vt:lpstr>Mitchell Retirements by Mth ADJ</vt:lpstr>
      <vt:lpstr>Rockport</vt:lpstr>
      <vt:lpstr>Non-FGD</vt:lpstr>
      <vt:lpstr>FGD</vt:lpstr>
      <vt:lpstr>Property Tax</vt:lpstr>
      <vt:lpstr>Allocation Factors</vt:lpstr>
      <vt:lpstr>3.15 </vt:lpstr>
      <vt:lpstr>OPR_ID</vt:lpstr>
      <vt:lpstr>'Non-FGD'!Print_Area</vt:lpstr>
      <vt:lpstr>IS!Print_Titles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AEP</dc:creator>
  <cp:lastModifiedBy>AEP</cp:lastModifiedBy>
  <cp:lastPrinted>2017-03-31T19:20:31Z</cp:lastPrinted>
  <dcterms:created xsi:type="dcterms:W3CDTF">2017-01-24T18:44:01Z</dcterms:created>
  <dcterms:modified xsi:type="dcterms:W3CDTF">2017-08-28T15:17:38Z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