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60" windowWidth="21825" windowHeight="5970" tabRatio="844"/>
  </bookViews>
  <sheets>
    <sheet name="Exhibit EGP5" sheetId="1" r:id="rId1"/>
    <sheet name="2017 5 Yr Plan" sheetId="2" r:id="rId2"/>
    <sheet name="2017 Alternative 6 Yr Plan" sheetId="3" r:id="rId3"/>
  </sheets>
  <calcPr calcId="145621"/>
</workbook>
</file>

<file path=xl/calcChain.xml><?xml version="1.0" encoding="utf-8"?>
<calcChain xmlns="http://schemas.openxmlformats.org/spreadsheetml/2006/main">
  <c r="S32" i="3" l="1"/>
  <c r="S27" i="3"/>
  <c r="AE36" i="3"/>
  <c r="AD36" i="3"/>
  <c r="AE35" i="3"/>
  <c r="AD35" i="3"/>
  <c r="AE34" i="3"/>
  <c r="AD34" i="3"/>
  <c r="AE33" i="3"/>
  <c r="AD33" i="3"/>
  <c r="AE32" i="3"/>
  <c r="AD32" i="3"/>
  <c r="AE31" i="3"/>
  <c r="AD31" i="3"/>
  <c r="AE30" i="3"/>
  <c r="AD30" i="3"/>
  <c r="AD25" i="3"/>
  <c r="AF25" i="3" s="1"/>
  <c r="AD24" i="3"/>
  <c r="AF24" i="3" s="1"/>
  <c r="AC30" i="3" s="1"/>
  <c r="AC31" i="3" s="1"/>
  <c r="AC32" i="3" s="1"/>
  <c r="AC33" i="3" s="1"/>
  <c r="AC34" i="3" s="1"/>
  <c r="AC35" i="3" s="1"/>
  <c r="AC36" i="3" s="1"/>
  <c r="R32" i="2"/>
  <c r="R27" i="2"/>
  <c r="AF32" i="2"/>
  <c r="AC25" i="2"/>
  <c r="AB24" i="2"/>
  <c r="AC24" i="2" s="1"/>
  <c r="AD26" i="3" l="1"/>
  <c r="AF26" i="3" s="1"/>
  <c r="S34" i="3" l="1"/>
  <c r="D4" i="1" s="1"/>
  <c r="B7" i="3"/>
  <c r="D7" i="3"/>
  <c r="B8" i="3"/>
  <c r="D8" i="3" s="1"/>
  <c r="E8" i="3" s="1"/>
  <c r="B9" i="3"/>
  <c r="D9" i="3" s="1"/>
  <c r="B10" i="3"/>
  <c r="D10" i="3" s="1"/>
  <c r="B11" i="3"/>
  <c r="D11" i="3"/>
  <c r="B12" i="3"/>
  <c r="C12" i="3"/>
  <c r="B13" i="3"/>
  <c r="C13" i="3"/>
  <c r="B14" i="3"/>
  <c r="C14" i="3"/>
  <c r="B15" i="3"/>
  <c r="C15" i="3"/>
  <c r="D15" i="3" s="1"/>
  <c r="D16" i="3"/>
  <c r="F16" i="3" s="1"/>
  <c r="AH32" i="3"/>
  <c r="AH34" i="3" s="1"/>
  <c r="K34" i="3"/>
  <c r="L34" i="3"/>
  <c r="M34" i="3"/>
  <c r="N34" i="3"/>
  <c r="O34" i="3"/>
  <c r="P34" i="3"/>
  <c r="B7" i="2"/>
  <c r="D7" i="2"/>
  <c r="B8" i="2"/>
  <c r="B9" i="2"/>
  <c r="D9" i="2" s="1"/>
  <c r="B10" i="2"/>
  <c r="D10" i="2" s="1"/>
  <c r="B11" i="2"/>
  <c r="D11" i="2" s="1"/>
  <c r="B12" i="2"/>
  <c r="D12" i="2" s="1"/>
  <c r="C12" i="2"/>
  <c r="B13" i="2"/>
  <c r="D13" i="2" s="1"/>
  <c r="C13" i="2"/>
  <c r="B14" i="2"/>
  <c r="C14" i="2"/>
  <c r="B15" i="2"/>
  <c r="C15" i="2"/>
  <c r="AA30" i="2"/>
  <c r="AB26" i="2"/>
  <c r="AC26" i="2" s="1"/>
  <c r="AB30" i="2" s="1"/>
  <c r="I34" i="2"/>
  <c r="J34" i="2"/>
  <c r="K34" i="2"/>
  <c r="L34" i="2"/>
  <c r="M34" i="2"/>
  <c r="N34" i="2"/>
  <c r="O34" i="2"/>
  <c r="AF34" i="2"/>
  <c r="B12" i="1"/>
  <c r="D8" i="2"/>
  <c r="R34" i="2"/>
  <c r="C4" i="1" s="1"/>
  <c r="E7" i="3"/>
  <c r="E7" i="2"/>
  <c r="E8" i="2" s="1"/>
  <c r="T33" i="3"/>
  <c r="F7" i="3"/>
  <c r="H7" i="3" s="1"/>
  <c r="F7" i="2"/>
  <c r="H7" i="2" s="1"/>
  <c r="B17" i="3" l="1"/>
  <c r="D13" i="3"/>
  <c r="D12" i="3"/>
  <c r="F8" i="3"/>
  <c r="H8" i="3" s="1"/>
  <c r="E9" i="3"/>
  <c r="U25" i="3"/>
  <c r="H16" i="3"/>
  <c r="I16" i="3"/>
  <c r="F8" i="2"/>
  <c r="H8" i="2" s="1"/>
  <c r="E9" i="2"/>
  <c r="AB33" i="2"/>
  <c r="AB32" i="2"/>
  <c r="AB35" i="2"/>
  <c r="AB31" i="2"/>
  <c r="T25" i="2" s="1"/>
  <c r="AB34" i="2"/>
  <c r="D14" i="2"/>
  <c r="B16" i="2"/>
  <c r="C16" i="2"/>
  <c r="D15" i="2"/>
  <c r="S28" i="2"/>
  <c r="AA31" i="2"/>
  <c r="AA32" i="2" s="1"/>
  <c r="AA33" i="2" s="1"/>
  <c r="AA34" i="2" s="1"/>
  <c r="AA35" i="2" s="1"/>
  <c r="S33" i="2"/>
  <c r="C17" i="3"/>
  <c r="D14" i="3"/>
  <c r="T28" i="3" l="1"/>
  <c r="T34" i="3" s="1"/>
  <c r="D5" i="1" s="1"/>
  <c r="F9" i="3"/>
  <c r="E10" i="3"/>
  <c r="V26" i="3"/>
  <c r="U34" i="3"/>
  <c r="D6" i="1" s="1"/>
  <c r="AF31" i="3"/>
  <c r="AC31" i="2"/>
  <c r="T34" i="2"/>
  <c r="C6" i="1" s="1"/>
  <c r="E10" i="2"/>
  <c r="F9" i="2"/>
  <c r="S34" i="2"/>
  <c r="C5" i="1" s="1"/>
  <c r="U26" i="2"/>
  <c r="AC30" i="2"/>
  <c r="AF30" i="3" l="1"/>
  <c r="F10" i="3"/>
  <c r="E11" i="3"/>
  <c r="H9" i="3"/>
  <c r="I9" i="3"/>
  <c r="W27" i="3"/>
  <c r="AF32" i="3"/>
  <c r="V34" i="3"/>
  <c r="D7" i="1" s="1"/>
  <c r="I9" i="2"/>
  <c r="H9" i="2"/>
  <c r="F10" i="2"/>
  <c r="E11" i="2"/>
  <c r="V27" i="2"/>
  <c r="U34" i="2"/>
  <c r="C7" i="1" s="1"/>
  <c r="AC32" i="2"/>
  <c r="F11" i="3" l="1"/>
  <c r="E12" i="3"/>
  <c r="H10" i="3"/>
  <c r="I10" i="3"/>
  <c r="AF33" i="3"/>
  <c r="W34" i="3"/>
  <c r="D8" i="1" s="1"/>
  <c r="D13" i="1"/>
  <c r="X28" i="3"/>
  <c r="H10" i="2"/>
  <c r="I10" i="2"/>
  <c r="E12" i="2"/>
  <c r="F11" i="2"/>
  <c r="W28" i="2"/>
  <c r="C13" i="1"/>
  <c r="V34" i="2"/>
  <c r="C8" i="1" s="1"/>
  <c r="AC33" i="2"/>
  <c r="X29" i="2"/>
  <c r="E13" i="3" l="1"/>
  <c r="F12" i="3"/>
  <c r="I11" i="3"/>
  <c r="H11" i="3"/>
  <c r="AF34" i="3"/>
  <c r="X34" i="3"/>
  <c r="D9" i="1" s="1"/>
  <c r="Y29" i="3"/>
  <c r="Z30" i="3"/>
  <c r="E13" i="2"/>
  <c r="F12" i="2"/>
  <c r="I11" i="2"/>
  <c r="H11" i="2"/>
  <c r="X34" i="2"/>
  <c r="C10" i="1" s="1"/>
  <c r="AC35" i="2"/>
  <c r="W34" i="2"/>
  <c r="C9" i="1" s="1"/>
  <c r="AC34" i="2"/>
  <c r="I12" i="3" l="1"/>
  <c r="H12" i="3"/>
  <c r="F13" i="3"/>
  <c r="E14" i="3"/>
  <c r="AF35" i="3"/>
  <c r="Y34" i="3"/>
  <c r="D10" i="1" s="1"/>
  <c r="AF36" i="3"/>
  <c r="Z34" i="3"/>
  <c r="D11" i="1" s="1"/>
  <c r="I12" i="2"/>
  <c r="H12" i="2"/>
  <c r="F13" i="2"/>
  <c r="E14" i="2"/>
  <c r="C12" i="1"/>
  <c r="C14" i="1"/>
  <c r="E15" i="3" l="1"/>
  <c r="F15" i="3" s="1"/>
  <c r="F14" i="3"/>
  <c r="H13" i="3"/>
  <c r="I13" i="3"/>
  <c r="D12" i="1"/>
  <c r="D14" i="1"/>
  <c r="H13" i="2"/>
  <c r="I13" i="2"/>
  <c r="F14" i="2"/>
  <c r="E15" i="2"/>
  <c r="F15" i="2" s="1"/>
  <c r="I14" i="3" l="1"/>
  <c r="H14" i="3"/>
  <c r="I15" i="3"/>
  <c r="H15" i="3"/>
  <c r="I14" i="2"/>
  <c r="H14" i="2"/>
  <c r="I15" i="2"/>
  <c r="I17" i="2" s="1"/>
  <c r="C15" i="1" s="1"/>
  <c r="H15" i="2"/>
  <c r="I17" i="3" l="1"/>
  <c r="D15" i="1" s="1"/>
</calcChain>
</file>

<file path=xl/sharedStrings.xml><?xml version="1.0" encoding="utf-8"?>
<sst xmlns="http://schemas.openxmlformats.org/spreadsheetml/2006/main" count="120" uniqueCount="56">
  <si>
    <t>Year</t>
  </si>
  <si>
    <t>TOTAL</t>
  </si>
  <si>
    <t>Avg Yrs Growth for Cycle</t>
  </si>
  <si>
    <t>Cost for Cycle after 2018</t>
  </si>
  <si>
    <t>Original                    Exhibit 9,                        5 Year Cycle                         (Case No  2014-00396)</t>
  </si>
  <si>
    <t>-</t>
  </si>
  <si>
    <t>Miles Cut</t>
  </si>
  <si>
    <t>5 Yr Cycle</t>
  </si>
  <si>
    <t>Years Growth</t>
  </si>
  <si>
    <t>T1</t>
  </si>
  <si>
    <t>T2</t>
  </si>
  <si>
    <t>Tot. Mi. Cut</t>
  </si>
  <si>
    <t>T1 Cuml. Mi.</t>
  </si>
  <si>
    <t>Variance</t>
  </si>
  <si>
    <t>T2 Offset</t>
  </si>
  <si>
    <t>Sum</t>
  </si>
  <si>
    <t>Average Yrs Growth for 2018 -2023 =</t>
  </si>
  <si>
    <t>Internal Labor</t>
  </si>
  <si>
    <t>Total Cost/Mile</t>
  </si>
  <si>
    <t>Task 1</t>
  </si>
  <si>
    <t>Yr 1 Miles</t>
  </si>
  <si>
    <t>Task 2</t>
  </si>
  <si>
    <t>Yr 2 Miles</t>
  </si>
  <si>
    <t>Task 2 Rev</t>
  </si>
  <si>
    <t>Yr 3 Miles</t>
  </si>
  <si>
    <t>Yr 4 Miles</t>
  </si>
  <si>
    <t>Yr 5 Miles</t>
  </si>
  <si>
    <t>Yr 6 Miles</t>
  </si>
  <si>
    <t>Yr 7 Miles</t>
  </si>
  <si>
    <t>Yr 8 Miles</t>
  </si>
  <si>
    <t>Yr 9 Miles</t>
  </si>
  <si>
    <t>Mileage</t>
  </si>
  <si>
    <t>Program Miles</t>
  </si>
  <si>
    <t xml:space="preserve">Total </t>
  </si>
  <si>
    <t>Task 1 - Initial Re-clear</t>
  </si>
  <si>
    <t>Task 2 - Interim Re-clear</t>
  </si>
  <si>
    <t>Task 2 - Interim Re-Clear</t>
  </si>
  <si>
    <t>Task 3 - 5 Year Cycle Trim</t>
  </si>
  <si>
    <t xml:space="preserve">2017 Projected Plan to Transition to 5 Year Cycle - Miles of Re-clear </t>
  </si>
  <si>
    <t>2017 Projected Plan to Transition to  5 Year Cycle with Initial Clear Completed by April 1, 2018</t>
  </si>
  <si>
    <t>Average Year Tree Growth for Recommended 2017 Plan</t>
  </si>
  <si>
    <t xml:space="preserve">Alternative 2017 Projected Plan to Transition to 6 Year Cycle with Initial Clear Completed by April 1, 2018 </t>
  </si>
  <si>
    <t>Averager Year Tree Growth for Alternative Plan</t>
  </si>
  <si>
    <t>Average Yrs Growth for 2018-2023 =</t>
  </si>
  <si>
    <t>Alternative 2017 Projected Plan toTransition to 6 Year Cycle - Circuit Miles Re-Cleared</t>
  </si>
  <si>
    <t>5 yr Cycle</t>
  </si>
  <si>
    <t>6 yr Cycle</t>
  </si>
  <si>
    <t>3 year Average (2018, 2019, 2020)</t>
  </si>
  <si>
    <t>Review of Miles Trimmed and Funding Requirements</t>
  </si>
  <si>
    <t>2017 Projected Plan to Transition to 5 Year Cycle - Funding Requirements</t>
  </si>
  <si>
    <t>Alternative 2017 Projected Plan to Transition to 6 Year Cycle - Funding Requirements</t>
  </si>
  <si>
    <t>Task 2 &amp; 3</t>
  </si>
  <si>
    <t>Annual Cost</t>
  </si>
  <si>
    <t>(3 Contractors)</t>
  </si>
  <si>
    <t xml:space="preserve">Recommend Proposal (Case No. 2017-00179)     5 Year Cycle             </t>
  </si>
  <si>
    <t xml:space="preserve">Alternative Considered (Case No. 2017-00179)        6 Year Cycle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</si>
</sst>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164" formatCode="&quot;$&quot;#,##0"/>
    <numFmt numFmtId="165" formatCode="&quot;$&quot;#,##0.00"/>
  </numFmts>
  <fonts count="2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1"/>
      <name val="Times New Roman"/>
      <family val="1"/>
    </font>
    <font>
      <b/>
      <u/>
      <sz val="11"/>
      <color indexed="8"/>
      <name val="Calibri"/>
      <family val="2"/>
    </font>
    <font>
      <b/>
      <sz val="16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54"/>
      <name val="Times New Roman"/>
      <family val="1"/>
    </font>
    <font>
      <b/>
      <sz val="11"/>
      <color indexed="51"/>
      <name val="Times New Roman"/>
      <family val="1"/>
    </font>
    <font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b/>
      <u/>
      <sz val="14"/>
      <color indexed="8"/>
      <name val="Calibri"/>
      <family val="2"/>
    </font>
    <font>
      <sz val="11"/>
      <color indexed="8"/>
      <name val="Times New Roman"/>
      <family val="1"/>
    </font>
    <font>
      <sz val="16"/>
      <color indexed="8"/>
      <name val="Calibri"/>
      <family val="2"/>
    </font>
    <font>
      <b/>
      <sz val="11"/>
      <color indexed="10"/>
      <name val="Calibri"/>
      <family val="2"/>
    </font>
    <font>
      <b/>
      <u/>
      <sz val="18"/>
      <color indexed="8"/>
      <name val="Calibri"/>
      <family val="2"/>
    </font>
    <font>
      <b/>
      <sz val="16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9D9D9"/>
        <bgColor indexed="64"/>
      </patternFill>
    </fill>
  </fills>
  <borders count="95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double">
        <color indexed="64"/>
      </right>
      <top/>
      <bottom style="thin">
        <color indexed="64"/>
      </bottom>
      <diagonal/>
    </border>
    <border>
      <left style="thick">
        <color indexed="64"/>
      </left>
      <right style="double">
        <color indexed="64"/>
      </right>
      <top/>
      <bottom style="thick">
        <color indexed="64"/>
      </bottom>
      <diagonal/>
    </border>
    <border>
      <left style="thick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/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ck">
        <color indexed="0"/>
      </right>
      <top style="medium">
        <color indexed="0"/>
      </top>
      <bottom style="thin">
        <color indexed="0"/>
      </bottom>
      <diagonal/>
    </border>
    <border>
      <left style="thick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ck">
        <color indexed="0"/>
      </right>
      <top style="thin">
        <color indexed="0"/>
      </top>
      <bottom style="thin">
        <color indexed="0"/>
      </bottom>
      <diagonal/>
    </border>
    <border>
      <left style="thick">
        <color indexed="0"/>
      </left>
      <right style="thin">
        <color indexed="0"/>
      </right>
      <top style="double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double">
        <color indexed="0"/>
      </top>
      <bottom style="thin">
        <color indexed="0"/>
      </bottom>
      <diagonal/>
    </border>
    <border>
      <left style="thin">
        <color indexed="0"/>
      </left>
      <right/>
      <top style="double">
        <color indexed="0"/>
      </top>
      <bottom style="thin">
        <color indexed="0"/>
      </bottom>
      <diagonal/>
    </border>
    <border>
      <left style="thin">
        <color indexed="0"/>
      </left>
      <right style="thick">
        <color indexed="0"/>
      </right>
      <top style="double">
        <color indexed="0"/>
      </top>
      <bottom style="thin">
        <color indexed="0"/>
      </bottom>
      <diagonal/>
    </border>
    <border>
      <left style="thick">
        <color indexed="0"/>
      </left>
      <right/>
      <top/>
      <bottom/>
      <diagonal/>
    </border>
    <border>
      <left/>
      <right style="thick">
        <color indexed="0"/>
      </right>
      <top/>
      <bottom/>
      <diagonal/>
    </border>
    <border>
      <left style="thick">
        <color indexed="0"/>
      </left>
      <right/>
      <top/>
      <bottom style="thick">
        <color indexed="0"/>
      </bottom>
      <diagonal/>
    </border>
    <border>
      <left/>
      <right/>
      <top/>
      <bottom style="thick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ck">
        <color indexed="0"/>
      </bottom>
      <diagonal/>
    </border>
    <border>
      <left/>
      <right style="thick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double">
        <color indexed="0"/>
      </bottom>
      <diagonal/>
    </border>
    <border>
      <left style="thin">
        <color indexed="0"/>
      </left>
      <right style="thick">
        <color indexed="0"/>
      </right>
      <top style="thin">
        <color indexed="0"/>
      </top>
      <bottom style="double">
        <color indexed="0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medium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  <border>
      <left style="medium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medium">
        <color indexed="0"/>
      </right>
      <top/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medium">
        <color indexed="8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0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0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0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0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ck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0"/>
      </left>
      <right/>
      <top style="thick">
        <color indexed="0"/>
      </top>
      <bottom/>
      <diagonal/>
    </border>
    <border>
      <left/>
      <right/>
      <top style="thick">
        <color indexed="0"/>
      </top>
      <bottom/>
      <diagonal/>
    </border>
    <border>
      <left/>
      <right style="thick">
        <color indexed="0"/>
      </right>
      <top style="thick">
        <color indexed="0"/>
      </top>
      <bottom/>
      <diagonal/>
    </border>
    <border>
      <left style="thick">
        <color indexed="0"/>
      </left>
      <right/>
      <top/>
      <bottom style="medium">
        <color indexed="0"/>
      </bottom>
      <diagonal/>
    </border>
    <border>
      <left/>
      <right/>
      <top/>
      <bottom style="medium">
        <color indexed="0"/>
      </bottom>
      <diagonal/>
    </border>
    <border>
      <left/>
      <right style="thick">
        <color indexed="0"/>
      </right>
      <top/>
      <bottom style="medium">
        <color indexed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/>
      <top style="medium">
        <color indexed="0"/>
      </top>
      <bottom style="thin">
        <color indexed="8"/>
      </bottom>
      <diagonal/>
    </border>
    <border>
      <left/>
      <right style="thin">
        <color indexed="0"/>
      </right>
      <top style="medium">
        <color indexed="0"/>
      </top>
      <bottom style="thin">
        <color indexed="8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/>
      <diagonal/>
    </border>
    <border>
      <left style="thin">
        <color indexed="0"/>
      </left>
      <right style="medium">
        <color indexed="0"/>
      </right>
      <top/>
      <bottom style="medium">
        <color indexed="8"/>
      </bottom>
      <diagonal/>
    </border>
    <border>
      <left style="thin">
        <color indexed="0"/>
      </left>
      <right/>
      <top style="thin">
        <color indexed="0"/>
      </top>
      <bottom style="thick">
        <color indexed="0"/>
      </bottom>
      <diagonal/>
    </border>
    <border>
      <left/>
      <right/>
      <top style="thin">
        <color indexed="0"/>
      </top>
      <bottom style="thick">
        <color indexed="0"/>
      </bottom>
      <diagonal/>
    </border>
    <border>
      <left/>
      <right style="thick">
        <color indexed="0"/>
      </right>
      <top style="thin">
        <color indexed="0"/>
      </top>
      <bottom style="thick">
        <color indexed="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0"/>
      </left>
      <right/>
      <top style="medium">
        <color indexed="0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0"/>
      </right>
      <top style="medium">
        <color indexed="8"/>
      </top>
      <bottom style="thin">
        <color indexed="8"/>
      </bottom>
      <diagonal/>
    </border>
  </borders>
  <cellStyleXfs count="10">
    <xf numFmtId="0" fontId="0" fillId="0" borderId="0"/>
    <xf numFmtId="0" fontId="21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</cellStyleXfs>
  <cellXfs count="233">
    <xf numFmtId="0" fontId="0" fillId="0" borderId="0" xfId="0"/>
    <xf numFmtId="0" fontId="23" fillId="0" borderId="0" xfId="0" applyFont="1"/>
    <xf numFmtId="0" fontId="23" fillId="0" borderId="0" xfId="0" applyFont="1" applyAlignment="1">
      <alignment horizontal="center"/>
    </xf>
    <xf numFmtId="0" fontId="0" fillId="0" borderId="0" xfId="0"/>
    <xf numFmtId="2" fontId="24" fillId="0" borderId="1" xfId="0" applyNumberFormat="1" applyFont="1" applyBorder="1" applyAlignment="1">
      <alignment horizontal="center" vertical="center"/>
    </xf>
    <xf numFmtId="164" fontId="23" fillId="0" borderId="2" xfId="0" applyNumberFormat="1" applyFont="1" applyBorder="1" applyAlignment="1">
      <alignment horizontal="center" vertical="center"/>
    </xf>
    <xf numFmtId="164" fontId="23" fillId="0" borderId="3" xfId="0" applyNumberFormat="1" applyFont="1" applyBorder="1" applyAlignment="1">
      <alignment horizontal="center" vertical="center"/>
    </xf>
    <xf numFmtId="164" fontId="23" fillId="0" borderId="4" xfId="0" applyNumberFormat="1" applyFont="1" applyBorder="1" applyAlignment="1">
      <alignment horizontal="center" vertical="center"/>
    </xf>
    <xf numFmtId="164" fontId="23" fillId="0" borderId="5" xfId="0" applyNumberFormat="1" applyFont="1" applyBorder="1" applyAlignment="1">
      <alignment horizontal="center" vertical="center"/>
    </xf>
    <xf numFmtId="164" fontId="23" fillId="0" borderId="6" xfId="0" applyNumberFormat="1" applyFont="1" applyBorder="1" applyAlignment="1">
      <alignment horizontal="center" vertical="center"/>
    </xf>
    <xf numFmtId="164" fontId="24" fillId="0" borderId="7" xfId="0" applyNumberFormat="1" applyFont="1" applyBorder="1" applyAlignment="1">
      <alignment horizontal="center" vertical="center"/>
    </xf>
    <xf numFmtId="164" fontId="24" fillId="0" borderId="8" xfId="0" applyNumberFormat="1" applyFont="1" applyBorder="1" applyAlignment="1">
      <alignment horizontal="center" vertical="center"/>
    </xf>
    <xf numFmtId="5" fontId="23" fillId="0" borderId="2" xfId="0" applyNumberFormat="1" applyFont="1" applyBorder="1" applyAlignment="1">
      <alignment horizontal="center" vertical="center"/>
    </xf>
    <xf numFmtId="5" fontId="23" fillId="0" borderId="3" xfId="0" applyNumberFormat="1" applyFont="1" applyBorder="1" applyAlignment="1">
      <alignment horizontal="center" vertical="center"/>
    </xf>
    <xf numFmtId="0" fontId="23" fillId="0" borderId="5" xfId="0" applyFont="1" applyBorder="1" applyAlignment="1">
      <alignment vertical="center"/>
    </xf>
    <xf numFmtId="5" fontId="24" fillId="0" borderId="7" xfId="0" applyNumberFormat="1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5" fontId="24" fillId="0" borderId="3" xfId="0" applyNumberFormat="1" applyFont="1" applyBorder="1" applyAlignment="1">
      <alignment horizontal="center" vertical="center"/>
    </xf>
    <xf numFmtId="164" fontId="24" fillId="0" borderId="3" xfId="0" applyNumberFormat="1" applyFont="1" applyBorder="1" applyAlignment="1">
      <alignment horizontal="center" vertical="center"/>
    </xf>
    <xf numFmtId="164" fontId="24" fillId="0" borderId="4" xfId="0" applyNumberFormat="1" applyFont="1" applyBorder="1" applyAlignment="1">
      <alignment horizontal="center" vertical="center"/>
    </xf>
    <xf numFmtId="164" fontId="23" fillId="0" borderId="12" xfId="0" applyNumberFormat="1" applyFont="1" applyBorder="1" applyAlignment="1">
      <alignment horizontal="center" vertical="center"/>
    </xf>
    <xf numFmtId="164" fontId="23" fillId="0" borderId="13" xfId="0" applyNumberFormat="1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/>
    </xf>
    <xf numFmtId="0" fontId="25" fillId="2" borderId="15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 applyProtection="1"/>
    <xf numFmtId="3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vertical="center"/>
    </xf>
    <xf numFmtId="0" fontId="15" fillId="0" borderId="0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/>
    <xf numFmtId="0" fontId="9" fillId="0" borderId="18" xfId="0" applyNumberFormat="1" applyFont="1" applyFill="1" applyBorder="1" applyAlignment="1" applyProtection="1">
      <alignment horizontal="center"/>
    </xf>
    <xf numFmtId="0" fontId="9" fillId="0" borderId="19" xfId="0" applyNumberFormat="1" applyFont="1" applyFill="1" applyBorder="1" applyAlignment="1" applyProtection="1">
      <alignment horizontal="center"/>
    </xf>
    <xf numFmtId="0" fontId="9" fillId="0" borderId="20" xfId="0" applyNumberFormat="1" applyFont="1" applyFill="1" applyBorder="1" applyAlignment="1" applyProtection="1">
      <alignment horizontal="center"/>
    </xf>
    <xf numFmtId="0" fontId="16" fillId="0" borderId="17" xfId="0" applyNumberFormat="1" applyFont="1" applyFill="1" applyBorder="1" applyAlignment="1" applyProtection="1"/>
    <xf numFmtId="0" fontId="13" fillId="0" borderId="18" xfId="0" applyNumberFormat="1" applyFont="1" applyFill="1" applyBorder="1" applyAlignment="1" applyProtection="1">
      <alignment horizontal="center"/>
    </xf>
    <xf numFmtId="0" fontId="13" fillId="0" borderId="19" xfId="0" applyNumberFormat="1" applyFont="1" applyFill="1" applyBorder="1" applyAlignment="1" applyProtection="1">
      <alignment horizontal="center"/>
    </xf>
    <xf numFmtId="0" fontId="13" fillId="0" borderId="20" xfId="0" applyNumberFormat="1" applyFont="1" applyFill="1" applyBorder="1" applyAlignment="1" applyProtection="1">
      <alignment horizontal="center"/>
    </xf>
    <xf numFmtId="0" fontId="14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/>
    </xf>
    <xf numFmtId="0" fontId="1" fillId="0" borderId="21" xfId="0" applyNumberFormat="1" applyFont="1" applyFill="1" applyBorder="1" applyAlignment="1" applyProtection="1"/>
    <xf numFmtId="0" fontId="5" fillId="0" borderId="22" xfId="0" applyNumberFormat="1" applyFont="1" applyFill="1" applyBorder="1" applyAlignment="1" applyProtection="1">
      <alignment horizontal="center"/>
    </xf>
    <xf numFmtId="0" fontId="5" fillId="0" borderId="23" xfId="0" applyNumberFormat="1" applyFont="1" applyFill="1" applyBorder="1" applyAlignment="1" applyProtection="1">
      <alignment horizontal="center"/>
    </xf>
    <xf numFmtId="0" fontId="5" fillId="0" borderId="24" xfId="0" applyNumberFormat="1" applyFont="1" applyFill="1" applyBorder="1" applyAlignment="1" applyProtection="1">
      <alignment horizontal="center"/>
    </xf>
    <xf numFmtId="0" fontId="16" fillId="0" borderId="21" xfId="0" applyNumberFormat="1" applyFont="1" applyFill="1" applyBorder="1" applyAlignment="1" applyProtection="1"/>
    <xf numFmtId="0" fontId="13" fillId="0" borderId="22" xfId="0" applyNumberFormat="1" applyFont="1" applyFill="1" applyBorder="1" applyAlignment="1" applyProtection="1">
      <alignment horizontal="center"/>
    </xf>
    <xf numFmtId="0" fontId="13" fillId="0" borderId="23" xfId="0" applyNumberFormat="1" applyFont="1" applyFill="1" applyBorder="1" applyAlignment="1" applyProtection="1">
      <alignment horizontal="center"/>
    </xf>
    <xf numFmtId="0" fontId="13" fillId="0" borderId="24" xfId="0" applyNumberFormat="1" applyFont="1" applyFill="1" applyBorder="1" applyAlignment="1" applyProtection="1">
      <alignment horizontal="center"/>
    </xf>
    <xf numFmtId="165" fontId="1" fillId="0" borderId="0" xfId="0" applyNumberFormat="1" applyFont="1" applyFill="1" applyBorder="1" applyAlignment="1" applyProtection="1">
      <alignment horizontal="center"/>
    </xf>
    <xf numFmtId="0" fontId="5" fillId="0" borderId="21" xfId="0" applyNumberFormat="1" applyFont="1" applyFill="1" applyBorder="1" applyAlignment="1" applyProtection="1">
      <alignment horizontal="center"/>
    </xf>
    <xf numFmtId="0" fontId="13" fillId="3" borderId="22" xfId="0" applyNumberFormat="1" applyFont="1" applyFill="1" applyBorder="1" applyAlignment="1" applyProtection="1">
      <alignment horizontal="center"/>
    </xf>
    <xf numFmtId="0" fontId="10" fillId="0" borderId="22" xfId="0" applyNumberFormat="1" applyFont="1" applyFill="1" applyBorder="1" applyAlignment="1" applyProtection="1">
      <alignment horizontal="center"/>
    </xf>
    <xf numFmtId="0" fontId="13" fillId="4" borderId="22" xfId="0" applyNumberFormat="1" applyFont="1" applyFill="1" applyBorder="1" applyAlignment="1" applyProtection="1">
      <alignment horizontal="center"/>
    </xf>
    <xf numFmtId="0" fontId="11" fillId="0" borderId="22" xfId="0" applyNumberFormat="1" applyFont="1" applyFill="1" applyBorder="1" applyAlignment="1" applyProtection="1">
      <alignment horizontal="center"/>
    </xf>
    <xf numFmtId="1" fontId="13" fillId="5" borderId="22" xfId="0" applyNumberFormat="1" applyFont="1" applyFill="1" applyBorder="1" applyAlignment="1" applyProtection="1">
      <alignment horizontal="center"/>
    </xf>
    <xf numFmtId="0" fontId="6" fillId="0" borderId="22" xfId="0" applyNumberFormat="1" applyFont="1" applyFill="1" applyBorder="1" applyAlignment="1" applyProtection="1">
      <alignment horizontal="center"/>
    </xf>
    <xf numFmtId="0" fontId="13" fillId="0" borderId="21" xfId="0" applyNumberFormat="1" applyFont="1" applyFill="1" applyBorder="1" applyAlignment="1" applyProtection="1">
      <alignment horizontal="center"/>
    </xf>
    <xf numFmtId="164" fontId="13" fillId="5" borderId="22" xfId="0" applyNumberFormat="1" applyFont="1" applyFill="1" applyBorder="1" applyAlignment="1" applyProtection="1">
      <alignment horizontal="center"/>
    </xf>
    <xf numFmtId="164" fontId="13" fillId="0" borderId="22" xfId="0" applyNumberFormat="1" applyFont="1" applyFill="1" applyBorder="1" applyAlignment="1" applyProtection="1">
      <alignment horizontal="center"/>
    </xf>
    <xf numFmtId="0" fontId="3" fillId="0" borderId="22" xfId="0" applyNumberFormat="1" applyFont="1" applyFill="1" applyBorder="1" applyAlignment="1" applyProtection="1">
      <alignment horizontal="center"/>
    </xf>
    <xf numFmtId="0" fontId="3" fillId="0" borderId="24" xfId="0" applyNumberFormat="1" applyFont="1" applyFill="1" applyBorder="1" applyAlignment="1" applyProtection="1"/>
    <xf numFmtId="1" fontId="13" fillId="4" borderId="22" xfId="0" applyNumberFormat="1" applyFont="1" applyFill="1" applyBorder="1" applyAlignment="1" applyProtection="1">
      <alignment horizontal="center"/>
    </xf>
    <xf numFmtId="164" fontId="13" fillId="4" borderId="0" xfId="0" applyNumberFormat="1" applyFont="1" applyFill="1" applyBorder="1" applyAlignment="1" applyProtection="1">
      <alignment horizontal="center"/>
    </xf>
    <xf numFmtId="165" fontId="13" fillId="0" borderId="22" xfId="0" applyNumberFormat="1" applyFont="1" applyFill="1" applyBorder="1" applyAlignment="1" applyProtection="1">
      <alignment horizontal="center"/>
    </xf>
    <xf numFmtId="164" fontId="13" fillId="0" borderId="24" xfId="0" applyNumberFormat="1" applyFont="1" applyFill="1" applyBorder="1" applyAlignment="1" applyProtection="1">
      <alignment horizontal="center"/>
    </xf>
    <xf numFmtId="165" fontId="13" fillId="0" borderId="24" xfId="0" applyNumberFormat="1" applyFont="1" applyFill="1" applyBorder="1" applyAlignment="1" applyProtection="1">
      <alignment horizontal="center"/>
    </xf>
    <xf numFmtId="1" fontId="13" fillId="0" borderId="22" xfId="0" applyNumberFormat="1" applyFont="1" applyFill="1" applyBorder="1" applyAlignment="1" applyProtection="1">
      <alignment horizontal="center"/>
    </xf>
    <xf numFmtId="1" fontId="13" fillId="5" borderId="24" xfId="0" applyNumberFormat="1" applyFont="1" applyFill="1" applyBorder="1" applyAlignment="1" applyProtection="1">
      <alignment horizontal="center"/>
    </xf>
    <xf numFmtId="165" fontId="13" fillId="0" borderId="23" xfId="0" applyNumberFormat="1" applyFont="1" applyFill="1" applyBorder="1" applyAlignment="1" applyProtection="1">
      <alignment horizontal="center"/>
    </xf>
    <xf numFmtId="164" fontId="13" fillId="5" borderId="24" xfId="0" applyNumberFormat="1" applyFont="1" applyFill="1" applyBorder="1" applyAlignment="1" applyProtection="1">
      <alignment horizontal="center"/>
    </xf>
    <xf numFmtId="164" fontId="1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165" fontId="1" fillId="0" borderId="0" xfId="0" applyNumberFormat="1" applyFont="1" applyFill="1" applyBorder="1" applyAlignment="1" applyProtection="1"/>
    <xf numFmtId="1" fontId="13" fillId="3" borderId="22" xfId="0" applyNumberFormat="1" applyFont="1" applyFill="1" applyBorder="1" applyAlignment="1" applyProtection="1">
      <alignment horizontal="center"/>
    </xf>
    <xf numFmtId="164" fontId="13" fillId="3" borderId="22" xfId="0" applyNumberFormat="1" applyFont="1" applyFill="1" applyBorder="1" applyAlignment="1" applyProtection="1">
      <alignment horizontal="center"/>
    </xf>
    <xf numFmtId="0" fontId="5" fillId="0" borderId="25" xfId="0" applyNumberFormat="1" applyFont="1" applyFill="1" applyBorder="1" applyAlignment="1" applyProtection="1">
      <alignment horizontal="center"/>
    </xf>
    <xf numFmtId="0" fontId="13" fillId="0" borderId="26" xfId="0" applyNumberFormat="1" applyFont="1" applyFill="1" applyBorder="1" applyAlignment="1" applyProtection="1">
      <alignment horizontal="center"/>
    </xf>
    <xf numFmtId="1" fontId="13" fillId="0" borderId="26" xfId="0" applyNumberFormat="1" applyFont="1" applyFill="1" applyBorder="1" applyAlignment="1" applyProtection="1">
      <alignment horizontal="center"/>
    </xf>
    <xf numFmtId="1" fontId="13" fillId="0" borderId="27" xfId="0" applyNumberFormat="1" applyFont="1" applyFill="1" applyBorder="1" applyAlignment="1" applyProtection="1">
      <alignment horizontal="center"/>
    </xf>
    <xf numFmtId="1" fontId="13" fillId="0" borderId="28" xfId="0" applyNumberFormat="1" applyFont="1" applyFill="1" applyBorder="1" applyAlignment="1" applyProtection="1">
      <alignment horizontal="center"/>
    </xf>
    <xf numFmtId="0" fontId="13" fillId="0" borderId="25" xfId="0" applyNumberFormat="1" applyFont="1" applyFill="1" applyBorder="1" applyAlignment="1" applyProtection="1">
      <alignment horizontal="center"/>
    </xf>
    <xf numFmtId="164" fontId="13" fillId="0" borderId="26" xfId="0" applyNumberFormat="1" applyFont="1" applyFill="1" applyBorder="1" applyAlignment="1" applyProtection="1">
      <alignment horizontal="center"/>
    </xf>
    <xf numFmtId="164" fontId="13" fillId="0" borderId="27" xfId="0" applyNumberFormat="1" applyFont="1" applyFill="1" applyBorder="1" applyAlignment="1" applyProtection="1">
      <alignment horizontal="center"/>
    </xf>
    <xf numFmtId="164" fontId="13" fillId="0" borderId="28" xfId="0" applyNumberFormat="1" applyFont="1" applyFill="1" applyBorder="1" applyAlignment="1" applyProtection="1">
      <alignment horizontal="center"/>
    </xf>
    <xf numFmtId="0" fontId="1" fillId="0" borderId="29" xfId="0" applyNumberFormat="1" applyFont="1" applyFill="1" applyBorder="1" applyAlignment="1" applyProtection="1">
      <alignment horizontal="center"/>
    </xf>
    <xf numFmtId="0" fontId="1" fillId="0" borderId="30" xfId="0" applyNumberFormat="1" applyFont="1" applyFill="1" applyBorder="1" applyAlignment="1" applyProtection="1">
      <alignment horizontal="center"/>
    </xf>
    <xf numFmtId="0" fontId="12" fillId="0" borderId="29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2" fillId="0" borderId="30" xfId="0" applyNumberFormat="1" applyFont="1" applyFill="1" applyBorder="1" applyAlignment="1" applyProtection="1"/>
    <xf numFmtId="0" fontId="4" fillId="0" borderId="29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4" fillId="3" borderId="22" xfId="0" applyNumberFormat="1" applyFont="1" applyFill="1" applyBorder="1" applyAlignment="1" applyProtection="1"/>
    <xf numFmtId="0" fontId="12" fillId="3" borderId="22" xfId="0" applyNumberFormat="1" applyFont="1" applyFill="1" applyBorder="1" applyAlignment="1" applyProtection="1"/>
    <xf numFmtId="0" fontId="4" fillId="4" borderId="22" xfId="0" applyNumberFormat="1" applyFont="1" applyFill="1" applyBorder="1" applyAlignment="1" applyProtection="1"/>
    <xf numFmtId="0" fontId="12" fillId="4" borderId="22" xfId="0" applyNumberFormat="1" applyFont="1" applyFill="1" applyBorder="1" applyAlignment="1" applyProtection="1"/>
    <xf numFmtId="0" fontId="4" fillId="0" borderId="31" xfId="0" applyNumberFormat="1" applyFont="1" applyFill="1" applyBorder="1" applyAlignment="1" applyProtection="1"/>
    <xf numFmtId="0" fontId="4" fillId="0" borderId="32" xfId="0" applyNumberFormat="1" applyFont="1" applyFill="1" applyBorder="1" applyAlignment="1" applyProtection="1"/>
    <xf numFmtId="0" fontId="5" fillId="0" borderId="32" xfId="0" applyNumberFormat="1" applyFont="1" applyFill="1" applyBorder="1" applyAlignment="1" applyProtection="1"/>
    <xf numFmtId="0" fontId="4" fillId="5" borderId="33" xfId="0" applyNumberFormat="1" applyFont="1" applyFill="1" applyBorder="1" applyAlignment="1" applyProtection="1"/>
    <xf numFmtId="0" fontId="12" fillId="0" borderId="31" xfId="0" applyNumberFormat="1" applyFont="1" applyFill="1" applyBorder="1" applyAlignment="1" applyProtection="1"/>
    <xf numFmtId="0" fontId="12" fillId="0" borderId="32" xfId="0" applyNumberFormat="1" applyFont="1" applyFill="1" applyBorder="1" applyAlignment="1" applyProtection="1"/>
    <xf numFmtId="0" fontId="12" fillId="5" borderId="33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vertical="center"/>
    </xf>
    <xf numFmtId="2" fontId="1" fillId="0" borderId="0" xfId="0" applyNumberFormat="1" applyFont="1" applyFill="1" applyBorder="1" applyAlignment="1" applyProtection="1"/>
    <xf numFmtId="0" fontId="12" fillId="0" borderId="17" xfId="0" applyNumberFormat="1" applyFont="1" applyFill="1" applyBorder="1" applyAlignment="1" applyProtection="1"/>
    <xf numFmtId="0" fontId="14" fillId="0" borderId="18" xfId="0" applyNumberFormat="1" applyFont="1" applyFill="1" applyBorder="1" applyAlignment="1" applyProtection="1">
      <alignment horizontal="center"/>
    </xf>
    <xf numFmtId="0" fontId="14" fillId="0" borderId="19" xfId="0" applyNumberFormat="1" applyFont="1" applyFill="1" applyBorder="1" applyAlignment="1" applyProtection="1">
      <alignment horizontal="center"/>
    </xf>
    <xf numFmtId="0" fontId="14" fillId="0" borderId="20" xfId="0" applyNumberFormat="1" applyFont="1" applyFill="1" applyBorder="1" applyAlignment="1" applyProtection="1">
      <alignment horizontal="center"/>
    </xf>
    <xf numFmtId="0" fontId="4" fillId="0" borderId="22" xfId="0" applyNumberFormat="1" applyFont="1" applyFill="1" applyBorder="1" applyAlignment="1" applyProtection="1">
      <alignment horizontal="center"/>
    </xf>
    <xf numFmtId="0" fontId="4" fillId="0" borderId="24" xfId="0" applyNumberFormat="1" applyFont="1" applyFill="1" applyBorder="1" applyAlignment="1" applyProtection="1">
      <alignment horizontal="center"/>
    </xf>
    <xf numFmtId="0" fontId="12" fillId="0" borderId="21" xfId="0" applyNumberFormat="1" applyFont="1" applyFill="1" applyBorder="1" applyAlignment="1" applyProtection="1"/>
    <xf numFmtId="0" fontId="12" fillId="0" borderId="22" xfId="0" applyNumberFormat="1" applyFont="1" applyFill="1" applyBorder="1" applyAlignment="1" applyProtection="1">
      <alignment horizontal="center"/>
    </xf>
    <xf numFmtId="0" fontId="12" fillId="0" borderId="34" xfId="0" applyNumberFormat="1" applyFont="1" applyFill="1" applyBorder="1" applyAlignment="1" applyProtection="1">
      <alignment horizontal="center"/>
    </xf>
    <xf numFmtId="0" fontId="6" fillId="0" borderId="24" xfId="0" applyNumberFormat="1" applyFont="1" applyFill="1" applyBorder="1" applyAlignment="1" applyProtection="1">
      <alignment horizontal="center"/>
    </xf>
    <xf numFmtId="165" fontId="13" fillId="0" borderId="34" xfId="0" applyNumberFormat="1" applyFont="1" applyFill="1" applyBorder="1" applyAlignment="1" applyProtection="1">
      <alignment horizontal="center"/>
    </xf>
    <xf numFmtId="0" fontId="3" fillId="0" borderId="35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horizontal="center"/>
    </xf>
    <xf numFmtId="0" fontId="3" fillId="0" borderId="22" xfId="0" applyNumberFormat="1" applyFont="1" applyFill="1" applyBorder="1" applyAlignment="1" applyProtection="1"/>
    <xf numFmtId="164" fontId="13" fillId="4" borderId="22" xfId="0" applyNumberFormat="1" applyFont="1" applyFill="1" applyBorder="1" applyAlignment="1" applyProtection="1">
      <alignment horizontal="center"/>
    </xf>
    <xf numFmtId="0" fontId="13" fillId="0" borderId="35" xfId="0" applyNumberFormat="1" applyFont="1" applyFill="1" applyBorder="1" applyAlignment="1" applyProtection="1">
      <alignment horizontal="center"/>
    </xf>
    <xf numFmtId="164" fontId="13" fillId="5" borderId="34" xfId="0" applyNumberFormat="1" applyFont="1" applyFill="1" applyBorder="1" applyAlignment="1" applyProtection="1">
      <alignment horizontal="center"/>
    </xf>
    <xf numFmtId="165" fontId="3" fillId="0" borderId="22" xfId="0" applyNumberFormat="1" applyFont="1" applyFill="1" applyBorder="1" applyAlignment="1" applyProtection="1"/>
    <xf numFmtId="0" fontId="13" fillId="0" borderId="36" xfId="0" applyNumberFormat="1" applyFont="1" applyFill="1" applyBorder="1" applyAlignment="1" applyProtection="1">
      <alignment horizontal="center"/>
    </xf>
    <xf numFmtId="0" fontId="13" fillId="3" borderId="36" xfId="0" applyNumberFormat="1" applyFont="1" applyFill="1" applyBorder="1" applyAlignment="1" applyProtection="1">
      <alignment horizontal="center"/>
    </xf>
    <xf numFmtId="0" fontId="13" fillId="0" borderId="37" xfId="0" applyNumberFormat="1" applyFont="1" applyFill="1" applyBorder="1" applyAlignment="1" applyProtection="1">
      <alignment horizontal="center"/>
    </xf>
    <xf numFmtId="165" fontId="3" fillId="0" borderId="34" xfId="0" applyNumberFormat="1" applyFont="1" applyFill="1" applyBorder="1" applyAlignment="1" applyProtection="1"/>
    <xf numFmtId="2" fontId="24" fillId="0" borderId="38" xfId="0" applyNumberFormat="1" applyFont="1" applyBorder="1" applyAlignment="1">
      <alignment horizontal="center" vertical="center"/>
    </xf>
    <xf numFmtId="0" fontId="1" fillId="0" borderId="39" xfId="0" applyNumberFormat="1" applyFont="1" applyFill="1" applyBorder="1" applyAlignment="1" applyProtection="1">
      <alignment horizontal="center"/>
    </xf>
    <xf numFmtId="0" fontId="1" fillId="0" borderId="40" xfId="0" applyNumberFormat="1" applyFont="1" applyFill="1" applyBorder="1" applyAlignment="1" applyProtection="1">
      <alignment horizontal="center"/>
    </xf>
    <xf numFmtId="0" fontId="1" fillId="0" borderId="22" xfId="0" applyNumberFormat="1" applyFont="1" applyFill="1" applyBorder="1" applyAlignment="1" applyProtection="1">
      <alignment horizontal="center"/>
    </xf>
    <xf numFmtId="0" fontId="1" fillId="0" borderId="41" xfId="0" applyNumberFormat="1" applyFont="1" applyFill="1" applyBorder="1" applyAlignment="1" applyProtection="1">
      <alignment horizontal="center"/>
    </xf>
    <xf numFmtId="2" fontId="1" fillId="0" borderId="41" xfId="0" applyNumberFormat="1" applyFont="1" applyFill="1" applyBorder="1" applyAlignment="1" applyProtection="1">
      <alignment horizontal="center"/>
    </xf>
    <xf numFmtId="0" fontId="1" fillId="0" borderId="42" xfId="0" applyNumberFormat="1" applyFont="1" applyFill="1" applyBorder="1" applyAlignment="1" applyProtection="1">
      <alignment horizontal="center"/>
    </xf>
    <xf numFmtId="3" fontId="1" fillId="0" borderId="43" xfId="0" applyNumberFormat="1" applyFont="1" applyFill="1" applyBorder="1" applyAlignment="1" applyProtection="1">
      <alignment horizontal="center"/>
    </xf>
    <xf numFmtId="2" fontId="1" fillId="0" borderId="44" xfId="0" applyNumberFormat="1" applyFont="1" applyFill="1" applyBorder="1" applyAlignment="1" applyProtection="1">
      <alignment horizontal="center"/>
    </xf>
    <xf numFmtId="0" fontId="1" fillId="0" borderId="45" xfId="0" applyNumberFormat="1" applyFont="1" applyFill="1" applyBorder="1" applyAlignment="1" applyProtection="1">
      <alignment horizontal="center"/>
    </xf>
    <xf numFmtId="3" fontId="1" fillId="0" borderId="46" xfId="0" applyNumberFormat="1" applyFont="1" applyFill="1" applyBorder="1" applyAlignment="1" applyProtection="1">
      <alignment horizontal="center"/>
    </xf>
    <xf numFmtId="2" fontId="1" fillId="0" borderId="47" xfId="0" applyNumberFormat="1" applyFont="1" applyFill="1" applyBorder="1" applyAlignment="1" applyProtection="1">
      <alignment horizontal="center"/>
    </xf>
    <xf numFmtId="3" fontId="1" fillId="0" borderId="22" xfId="0" applyNumberFormat="1" applyFont="1" applyFill="1" applyBorder="1" applyAlignment="1" applyProtection="1">
      <alignment horizontal="center"/>
    </xf>
    <xf numFmtId="2" fontId="18" fillId="6" borderId="0" xfId="0" applyNumberFormat="1" applyFont="1" applyFill="1" applyBorder="1" applyAlignment="1" applyProtection="1">
      <alignment horizontal="center" vertical="center"/>
    </xf>
    <xf numFmtId="0" fontId="1" fillId="0" borderId="46" xfId="0" applyNumberFormat="1" applyFont="1" applyFill="1" applyBorder="1" applyAlignment="1" applyProtection="1">
      <alignment horizontal="center"/>
    </xf>
    <xf numFmtId="0" fontId="1" fillId="0" borderId="47" xfId="0" applyNumberFormat="1" applyFont="1" applyFill="1" applyBorder="1" applyAlignment="1" applyProtection="1">
      <alignment horizontal="center"/>
    </xf>
    <xf numFmtId="1" fontId="1" fillId="0" borderId="43" xfId="0" applyNumberFormat="1" applyFont="1" applyFill="1" applyBorder="1" applyAlignment="1" applyProtection="1">
      <alignment horizontal="center"/>
    </xf>
    <xf numFmtId="2" fontId="1" fillId="0" borderId="48" xfId="0" applyNumberFormat="1" applyFont="1" applyFill="1" applyBorder="1" applyAlignment="1" applyProtection="1">
      <alignment horizontal="center"/>
    </xf>
    <xf numFmtId="0" fontId="1" fillId="0" borderId="49" xfId="0" applyNumberFormat="1" applyFont="1" applyFill="1" applyBorder="1" applyAlignment="1" applyProtection="1">
      <alignment horizontal="center"/>
    </xf>
    <xf numFmtId="0" fontId="1" fillId="0" borderId="50" xfId="0" applyNumberFormat="1" applyFont="1" applyFill="1" applyBorder="1" applyAlignment="1" applyProtection="1">
      <alignment horizontal="center"/>
    </xf>
    <xf numFmtId="0" fontId="1" fillId="0" borderId="51" xfId="0" applyNumberFormat="1" applyFont="1" applyFill="1" applyBorder="1" applyAlignment="1" applyProtection="1">
      <alignment horizontal="center"/>
    </xf>
    <xf numFmtId="0" fontId="1" fillId="0" borderId="52" xfId="0" applyNumberFormat="1" applyFont="1" applyFill="1" applyBorder="1" applyAlignment="1" applyProtection="1">
      <alignment horizontal="center"/>
    </xf>
    <xf numFmtId="1" fontId="1" fillId="0" borderId="53" xfId="0" applyNumberFormat="1" applyFont="1" applyFill="1" applyBorder="1" applyAlignment="1" applyProtection="1">
      <alignment horizontal="center"/>
    </xf>
    <xf numFmtId="0" fontId="1" fillId="0" borderId="53" xfId="0" applyNumberFormat="1" applyFont="1" applyFill="1" applyBorder="1" applyAlignment="1" applyProtection="1">
      <alignment horizontal="center"/>
    </xf>
    <xf numFmtId="3" fontId="1" fillId="0" borderId="53" xfId="0" applyNumberFormat="1" applyFont="1" applyFill="1" applyBorder="1" applyAlignment="1" applyProtection="1">
      <alignment horizontal="center"/>
    </xf>
    <xf numFmtId="0" fontId="1" fillId="0" borderId="54" xfId="0" applyNumberFormat="1" applyFont="1" applyFill="1" applyBorder="1" applyAlignment="1" applyProtection="1">
      <alignment horizontal="center"/>
    </xf>
    <xf numFmtId="0" fontId="1" fillId="0" borderId="55" xfId="0" applyNumberFormat="1" applyFont="1" applyFill="1" applyBorder="1" applyAlignment="1" applyProtection="1">
      <alignment horizontal="center"/>
    </xf>
    <xf numFmtId="0" fontId="1" fillId="0" borderId="56" xfId="0" applyNumberFormat="1" applyFont="1" applyFill="1" applyBorder="1" applyAlignment="1" applyProtection="1">
      <alignment horizontal="center"/>
    </xf>
    <xf numFmtId="0" fontId="1" fillId="0" borderId="57" xfId="0" applyNumberFormat="1" applyFont="1" applyFill="1" applyBorder="1" applyAlignment="1" applyProtection="1">
      <alignment horizontal="center"/>
    </xf>
    <xf numFmtId="3" fontId="1" fillId="0" borderId="58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>
      <alignment vertical="center"/>
    </xf>
    <xf numFmtId="0" fontId="3" fillId="2" borderId="59" xfId="0" applyNumberFormat="1" applyFont="1" applyFill="1" applyBorder="1" applyAlignment="1" applyProtection="1">
      <alignment horizontal="center"/>
    </xf>
    <xf numFmtId="3" fontId="3" fillId="2" borderId="51" xfId="0" applyNumberFormat="1" applyFont="1" applyFill="1" applyBorder="1" applyAlignment="1" applyProtection="1">
      <alignment horizontal="center"/>
    </xf>
    <xf numFmtId="0" fontId="1" fillId="0" borderId="60" xfId="0" applyNumberFormat="1" applyFont="1" applyFill="1" applyBorder="1" applyAlignment="1" applyProtection="1">
      <alignment horizontal="center"/>
    </xf>
    <xf numFmtId="0" fontId="1" fillId="0" borderId="61" xfId="0" applyNumberFormat="1" applyFont="1" applyFill="1" applyBorder="1" applyAlignment="1" applyProtection="1">
      <alignment horizontal="center"/>
    </xf>
    <xf numFmtId="0" fontId="1" fillId="0" borderId="62" xfId="0" applyNumberFormat="1" applyFont="1" applyFill="1" applyBorder="1" applyAlignment="1" applyProtection="1">
      <alignment horizontal="center"/>
    </xf>
    <xf numFmtId="3" fontId="1" fillId="0" borderId="61" xfId="0" applyNumberFormat="1" applyFont="1" applyFill="1" applyBorder="1" applyAlignment="1" applyProtection="1">
      <alignment horizontal="center"/>
    </xf>
    <xf numFmtId="1" fontId="1" fillId="0" borderId="61" xfId="0" applyNumberFormat="1" applyFont="1" applyFill="1" applyBorder="1" applyAlignment="1" applyProtection="1">
      <alignment horizontal="center"/>
    </xf>
    <xf numFmtId="0" fontId="1" fillId="0" borderId="63" xfId="0" applyNumberFormat="1" applyFont="1" applyFill="1" applyBorder="1" applyAlignment="1" applyProtection="1">
      <alignment horizontal="center"/>
    </xf>
    <xf numFmtId="0" fontId="1" fillId="0" borderId="64" xfId="0" applyNumberFormat="1" applyFont="1" applyFill="1" applyBorder="1" applyAlignment="1" applyProtection="1">
      <alignment horizontal="center"/>
    </xf>
    <xf numFmtId="0" fontId="1" fillId="0" borderId="65" xfId="0" applyNumberFormat="1" applyFont="1" applyFill="1" applyBorder="1" applyAlignment="1" applyProtection="1">
      <alignment horizontal="center"/>
    </xf>
    <xf numFmtId="3" fontId="1" fillId="0" borderId="65" xfId="0" applyNumberFormat="1" applyFont="1" applyFill="1" applyBorder="1" applyAlignment="1" applyProtection="1">
      <alignment horizontal="center"/>
    </xf>
    <xf numFmtId="0" fontId="1" fillId="2" borderId="66" xfId="0" applyNumberFormat="1" applyFont="1" applyFill="1" applyBorder="1" applyAlignment="1" applyProtection="1">
      <alignment horizontal="center"/>
    </xf>
    <xf numFmtId="3" fontId="1" fillId="2" borderId="67" xfId="0" applyNumberFormat="1" applyFont="1" applyFill="1" applyBorder="1" applyAlignment="1" applyProtection="1">
      <alignment horizontal="center"/>
    </xf>
    <xf numFmtId="3" fontId="1" fillId="2" borderId="68" xfId="0" applyNumberFormat="1" applyFont="1" applyFill="1" applyBorder="1" applyAlignment="1" applyProtection="1">
      <alignment horizontal="center"/>
    </xf>
    <xf numFmtId="0" fontId="3" fillId="2" borderId="61" xfId="0" applyNumberFormat="1" applyFont="1" applyFill="1" applyBorder="1" applyAlignment="1" applyProtection="1">
      <alignment horizontal="center"/>
    </xf>
    <xf numFmtId="0" fontId="3" fillId="2" borderId="69" xfId="0" applyNumberFormat="1" applyFont="1" applyFill="1" applyBorder="1" applyAlignment="1" applyProtection="1">
      <alignment horizontal="center"/>
    </xf>
    <xf numFmtId="0" fontId="3" fillId="2" borderId="70" xfId="0" applyNumberFormat="1" applyFont="1" applyFill="1" applyBorder="1" applyAlignment="1" applyProtection="1">
      <alignment horizontal="center"/>
    </xf>
    <xf numFmtId="0" fontId="3" fillId="2" borderId="51" xfId="0" applyNumberFormat="1" applyFont="1" applyFill="1" applyBorder="1" applyAlignment="1" applyProtection="1">
      <alignment horizontal="center"/>
    </xf>
    <xf numFmtId="0" fontId="3" fillId="2" borderId="71" xfId="0" applyNumberFormat="1" applyFont="1" applyFill="1" applyBorder="1" applyAlignment="1" applyProtection="1">
      <alignment horizontal="center"/>
    </xf>
    <xf numFmtId="164" fontId="24" fillId="2" borderId="7" xfId="0" applyNumberFormat="1" applyFont="1" applyFill="1" applyBorder="1" applyAlignment="1">
      <alignment horizontal="center" vertical="center"/>
    </xf>
    <xf numFmtId="0" fontId="24" fillId="0" borderId="72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73" xfId="0" applyFont="1" applyBorder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right"/>
    </xf>
    <xf numFmtId="0" fontId="0" fillId="0" borderId="0" xfId="0" applyAlignment="1">
      <alignment horizontal="right"/>
    </xf>
    <xf numFmtId="0" fontId="26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5" fillId="0" borderId="23" xfId="0" applyNumberFormat="1" applyFont="1" applyFill="1" applyBorder="1" applyAlignment="1" applyProtection="1">
      <alignment horizontal="left" vertical="center"/>
    </xf>
    <xf numFmtId="0" fontId="5" fillId="0" borderId="82" xfId="0" applyNumberFormat="1" applyFont="1" applyFill="1" applyBorder="1" applyAlignment="1" applyProtection="1">
      <alignment horizontal="left" vertical="center"/>
    </xf>
    <xf numFmtId="0" fontId="5" fillId="0" borderId="34" xfId="0" applyNumberFormat="1" applyFont="1" applyFill="1" applyBorder="1" applyAlignment="1" applyProtection="1">
      <alignment horizontal="left" vertical="center"/>
    </xf>
    <xf numFmtId="0" fontId="15" fillId="0" borderId="0" xfId="0" applyNumberFormat="1" applyFont="1" applyFill="1" applyBorder="1" applyAlignment="1" applyProtection="1">
      <alignment horizontal="left" vertical="center"/>
    </xf>
    <xf numFmtId="0" fontId="5" fillId="0" borderId="87" xfId="0" applyNumberFormat="1" applyFont="1" applyFill="1" applyBorder="1" applyAlignment="1" applyProtection="1">
      <alignment horizontal="left" vertical="center"/>
    </xf>
    <xf numFmtId="0" fontId="5" fillId="0" borderId="88" xfId="0" applyNumberFormat="1" applyFont="1" applyFill="1" applyBorder="1" applyAlignment="1" applyProtection="1">
      <alignment horizontal="left" vertical="center"/>
    </xf>
    <xf numFmtId="0" fontId="5" fillId="0" borderId="89" xfId="0" applyNumberFormat="1" applyFont="1" applyFill="1" applyBorder="1" applyAlignment="1" applyProtection="1">
      <alignment horizontal="left" vertical="center"/>
    </xf>
    <xf numFmtId="0" fontId="3" fillId="2" borderId="83" xfId="0" applyNumberFormat="1" applyFont="1" applyFill="1" applyBorder="1" applyAlignment="1" applyProtection="1">
      <alignment horizontal="center"/>
    </xf>
    <xf numFmtId="0" fontId="3" fillId="2" borderId="84" xfId="0" applyNumberFormat="1" applyFont="1" applyFill="1" applyBorder="1" applyAlignment="1" applyProtection="1">
      <alignment horizontal="center"/>
    </xf>
    <xf numFmtId="0" fontId="3" fillId="2" borderId="85" xfId="0" applyNumberFormat="1" applyFont="1" applyFill="1" applyBorder="1" applyAlignment="1" applyProtection="1">
      <alignment horizontal="center" wrapText="1"/>
    </xf>
    <xf numFmtId="0" fontId="3" fillId="2" borderId="86" xfId="0" applyNumberFormat="1" applyFont="1" applyFill="1" applyBorder="1" applyAlignment="1" applyProtection="1">
      <alignment horizontal="center" wrapText="1"/>
    </xf>
    <xf numFmtId="3" fontId="3" fillId="6" borderId="0" xfId="0" applyNumberFormat="1" applyFont="1" applyFill="1" applyBorder="1" applyAlignment="1" applyProtection="1">
      <alignment horizontal="right" vertical="center"/>
    </xf>
    <xf numFmtId="0" fontId="5" fillId="0" borderId="23" xfId="0" applyNumberFormat="1" applyFont="1" applyFill="1" applyBorder="1" applyAlignment="1" applyProtection="1">
      <alignment horizontal="left"/>
    </xf>
    <xf numFmtId="0" fontId="5" fillId="0" borderId="82" xfId="0" applyNumberFormat="1" applyFont="1" applyFill="1" applyBorder="1" applyAlignment="1" applyProtection="1">
      <alignment horizontal="left"/>
    </xf>
    <xf numFmtId="0" fontId="5" fillId="0" borderId="34" xfId="0" applyNumberFormat="1" applyFont="1" applyFill="1" applyBorder="1" applyAlignment="1" applyProtection="1">
      <alignment horizontal="left"/>
    </xf>
    <xf numFmtId="0" fontId="15" fillId="0" borderId="32" xfId="0" applyNumberFormat="1" applyFont="1" applyFill="1" applyBorder="1" applyAlignment="1" applyProtection="1">
      <alignment horizontal="left" vertical="center"/>
    </xf>
    <xf numFmtId="0" fontId="5" fillId="0" borderId="87" xfId="0" applyNumberFormat="1" applyFont="1" applyFill="1" applyBorder="1" applyAlignment="1" applyProtection="1">
      <alignment horizontal="left"/>
    </xf>
    <xf numFmtId="0" fontId="5" fillId="0" borderId="88" xfId="0" applyNumberFormat="1" applyFont="1" applyFill="1" applyBorder="1" applyAlignment="1" applyProtection="1">
      <alignment horizontal="left"/>
    </xf>
    <xf numFmtId="0" fontId="5" fillId="0" borderId="89" xfId="0" applyNumberFormat="1" applyFont="1" applyFill="1" applyBorder="1" applyAlignment="1" applyProtection="1">
      <alignment horizontal="left"/>
    </xf>
    <xf numFmtId="0" fontId="8" fillId="7" borderId="74" xfId="0" applyNumberFormat="1" applyFont="1" applyFill="1" applyBorder="1" applyAlignment="1" applyProtection="1">
      <alignment horizontal="center" vertical="center" wrapText="1"/>
    </xf>
    <xf numFmtId="0" fontId="8" fillId="7" borderId="75" xfId="0" applyNumberFormat="1" applyFont="1" applyFill="1" applyBorder="1" applyAlignment="1" applyProtection="1">
      <alignment horizontal="center" vertical="center" wrapText="1"/>
    </xf>
    <xf numFmtId="0" fontId="8" fillId="7" borderId="76" xfId="0" applyNumberFormat="1" applyFont="1" applyFill="1" applyBorder="1" applyAlignment="1" applyProtection="1">
      <alignment horizontal="center" vertical="center" wrapText="1"/>
    </xf>
    <xf numFmtId="0" fontId="8" fillId="7" borderId="77" xfId="0" applyNumberFormat="1" applyFont="1" applyFill="1" applyBorder="1" applyAlignment="1" applyProtection="1">
      <alignment horizontal="center" vertical="center" wrapText="1"/>
    </xf>
    <xf numFmtId="0" fontId="8" fillId="7" borderId="78" xfId="0" applyNumberFormat="1" applyFont="1" applyFill="1" applyBorder="1" applyAlignment="1" applyProtection="1">
      <alignment horizontal="center" vertical="center" wrapText="1"/>
    </xf>
    <xf numFmtId="0" fontId="8" fillId="7" borderId="79" xfId="0" applyNumberFormat="1" applyFont="1" applyFill="1" applyBorder="1" applyAlignment="1" applyProtection="1">
      <alignment horizontal="center" vertical="center" wrapText="1"/>
    </xf>
    <xf numFmtId="0" fontId="3" fillId="2" borderId="52" xfId="0" applyNumberFormat="1" applyFont="1" applyFill="1" applyBorder="1" applyAlignment="1" applyProtection="1">
      <alignment horizontal="center"/>
    </xf>
    <xf numFmtId="0" fontId="3" fillId="2" borderId="80" xfId="0" applyNumberFormat="1" applyFont="1" applyFill="1" applyBorder="1" applyAlignment="1" applyProtection="1">
      <alignment horizontal="center" vertical="center"/>
    </xf>
    <xf numFmtId="0" fontId="3" fillId="2" borderId="59" xfId="0" applyNumberFormat="1" applyFont="1" applyFill="1" applyBorder="1" applyAlignment="1" applyProtection="1">
      <alignment horizontal="center" vertical="center"/>
    </xf>
    <xf numFmtId="0" fontId="3" fillId="2" borderId="81" xfId="0" applyNumberFormat="1" applyFont="1" applyFill="1" applyBorder="1" applyAlignment="1" applyProtection="1">
      <alignment horizontal="center" wrapText="1"/>
    </xf>
    <xf numFmtId="0" fontId="3" fillId="2" borderId="51" xfId="0" applyNumberFormat="1" applyFont="1" applyFill="1" applyBorder="1" applyAlignment="1" applyProtection="1">
      <alignment horizontal="center" wrapText="1"/>
    </xf>
    <xf numFmtId="0" fontId="3" fillId="2" borderId="90" xfId="0" applyNumberFormat="1" applyFont="1" applyFill="1" applyBorder="1" applyAlignment="1" applyProtection="1">
      <alignment horizontal="center" vertical="center" wrapText="1"/>
    </xf>
    <xf numFmtId="0" fontId="3" fillId="2" borderId="54" xfId="0" applyNumberFormat="1" applyFont="1" applyFill="1" applyBorder="1" applyAlignment="1" applyProtection="1">
      <alignment horizontal="center" vertical="center" wrapText="1"/>
    </xf>
    <xf numFmtId="0" fontId="3" fillId="2" borderId="91" xfId="0" applyNumberFormat="1" applyFont="1" applyFill="1" applyBorder="1" applyAlignment="1" applyProtection="1">
      <alignment horizontal="center"/>
    </xf>
    <xf numFmtId="0" fontId="3" fillId="2" borderId="92" xfId="0" applyNumberFormat="1" applyFont="1" applyFill="1" applyBorder="1" applyAlignment="1" applyProtection="1">
      <alignment horizontal="center" vertical="center"/>
    </xf>
    <xf numFmtId="0" fontId="3" fillId="2" borderId="62" xfId="0" applyNumberFormat="1" applyFont="1" applyFill="1" applyBorder="1" applyAlignment="1" applyProtection="1">
      <alignment horizontal="center" vertical="center"/>
    </xf>
    <xf numFmtId="0" fontId="3" fillId="2" borderId="93" xfId="0" applyNumberFormat="1" applyFont="1" applyFill="1" applyBorder="1" applyAlignment="1" applyProtection="1">
      <alignment horizontal="center"/>
    </xf>
    <xf numFmtId="0" fontId="3" fillId="2" borderId="93" xfId="0" applyNumberFormat="1" applyFont="1" applyFill="1" applyBorder="1" applyAlignment="1" applyProtection="1">
      <alignment horizontal="center" vertical="center" wrapText="1"/>
    </xf>
    <xf numFmtId="0" fontId="3" fillId="2" borderId="61" xfId="0" applyNumberFormat="1" applyFont="1" applyFill="1" applyBorder="1" applyAlignment="1" applyProtection="1">
      <alignment horizontal="center" vertical="center" wrapText="1"/>
    </xf>
    <xf numFmtId="0" fontId="3" fillId="2" borderId="93" xfId="0" applyNumberFormat="1" applyFont="1" applyFill="1" applyBorder="1" applyAlignment="1" applyProtection="1">
      <alignment horizontal="center" wrapText="1"/>
    </xf>
    <xf numFmtId="0" fontId="3" fillId="2" borderId="61" xfId="0" applyNumberFormat="1" applyFont="1" applyFill="1" applyBorder="1" applyAlignment="1" applyProtection="1">
      <alignment horizontal="center" wrapText="1"/>
    </xf>
    <xf numFmtId="0" fontId="3" fillId="2" borderId="94" xfId="0" applyNumberFormat="1" applyFont="1" applyFill="1" applyBorder="1" applyAlignment="1" applyProtection="1">
      <alignment horizontal="center" vertical="center"/>
    </xf>
    <xf numFmtId="0" fontId="3" fillId="2" borderId="65" xfId="0" applyNumberFormat="1" applyFont="1" applyFill="1" applyBorder="1" applyAlignment="1" applyProtection="1">
      <alignment horizontal="center" vertical="center"/>
    </xf>
  </cellXfs>
  <cellStyles count="10">
    <cellStyle name="Normal" xfId="0" builtinId="0"/>
    <cellStyle name="Normal 2" xfId="1"/>
    <cellStyle name="Normal 3" xfId="2"/>
    <cellStyle name="Normal 4" xfId="3"/>
    <cellStyle name="Normal 4 2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GridLines="0" tabSelected="1" workbookViewId="0">
      <selection activeCell="C13" sqref="C13"/>
    </sheetView>
  </sheetViews>
  <sheetFormatPr defaultRowHeight="15" x14ac:dyDescent="0.25"/>
  <cols>
    <col min="1" max="1" width="21.140625" customWidth="1"/>
    <col min="2" max="2" width="30.28515625" customWidth="1"/>
    <col min="3" max="3" width="31.7109375" customWidth="1"/>
    <col min="4" max="4" width="32.85546875" customWidth="1"/>
  </cols>
  <sheetData>
    <row r="1" spans="1:4" ht="84.75" customHeight="1" thickTop="1" thickBot="1" x14ac:dyDescent="0.3">
      <c r="A1" s="25" t="s">
        <v>0</v>
      </c>
      <c r="B1" s="26" t="s">
        <v>4</v>
      </c>
      <c r="C1" s="26" t="s">
        <v>54</v>
      </c>
      <c r="D1" s="27" t="s">
        <v>55</v>
      </c>
    </row>
    <row r="2" spans="1:4" ht="21" customHeight="1" thickTop="1" x14ac:dyDescent="0.25">
      <c r="A2" s="183">
        <v>2015</v>
      </c>
      <c r="B2" s="12">
        <v>22327777</v>
      </c>
      <c r="C2" s="5">
        <v>23067891</v>
      </c>
      <c r="D2" s="22">
        <v>23067891</v>
      </c>
    </row>
    <row r="3" spans="1:4" ht="21" customHeight="1" x14ac:dyDescent="0.25">
      <c r="A3" s="184">
        <v>2016</v>
      </c>
      <c r="B3" s="13">
        <v>27664598.163471401</v>
      </c>
      <c r="C3" s="6">
        <v>27774546</v>
      </c>
      <c r="D3" s="23">
        <v>27774546</v>
      </c>
    </row>
    <row r="4" spans="1:4" ht="21" customHeight="1" x14ac:dyDescent="0.25">
      <c r="A4" s="184">
        <v>2017</v>
      </c>
      <c r="B4" s="13">
        <v>27661948.95834633</v>
      </c>
      <c r="C4" s="6">
        <f>'2017 5 Yr Plan'!R34</f>
        <v>27661059.50566579</v>
      </c>
      <c r="D4" s="7">
        <f>'2017 Alternative 6 Yr Plan'!S34</f>
        <v>27661059.50566579</v>
      </c>
    </row>
    <row r="5" spans="1:4" ht="21" customHeight="1" x14ac:dyDescent="0.25">
      <c r="A5" s="184">
        <v>2018</v>
      </c>
      <c r="B5" s="13">
        <v>27664088.540064447</v>
      </c>
      <c r="C5" s="6">
        <f>'2017 5 Yr Plan'!S34</f>
        <v>21638765.687510472</v>
      </c>
      <c r="D5" s="7">
        <f>'2017 Alternative 6 Yr Plan'!T34</f>
        <v>19573483.105245795</v>
      </c>
    </row>
    <row r="6" spans="1:4" ht="21" customHeight="1" x14ac:dyDescent="0.25">
      <c r="A6" s="184">
        <v>2019</v>
      </c>
      <c r="B6" s="13">
        <v>21534740</v>
      </c>
      <c r="C6" s="6">
        <f>'2017 5 Yr Plan'!T34</f>
        <v>21283946.047741558</v>
      </c>
      <c r="D6" s="7">
        <f>'2017 Alternative 6 Yr Plan'!U34</f>
        <v>19612726.71892038</v>
      </c>
    </row>
    <row r="7" spans="1:4" ht="21" customHeight="1" x14ac:dyDescent="0.25">
      <c r="A7" s="184">
        <v>2020</v>
      </c>
      <c r="B7" s="13">
        <v>16039442.754364882</v>
      </c>
      <c r="C7" s="6">
        <f>'2017 5 Yr Plan'!U34</f>
        <v>21472776.923601754</v>
      </c>
      <c r="D7" s="7">
        <f>'2017 Alternative 6 Yr Plan'!V34</f>
        <v>19783616.086884174</v>
      </c>
    </row>
    <row r="8" spans="1:4" ht="21" customHeight="1" x14ac:dyDescent="0.25">
      <c r="A8" s="184">
        <v>2021</v>
      </c>
      <c r="B8" s="13">
        <v>15879048.326821234</v>
      </c>
      <c r="C8" s="6">
        <f>'2017 5 Yr Plan'!V34</f>
        <v>21688685.327020627</v>
      </c>
      <c r="D8" s="7">
        <f>'2017 Alternative 6 Yr Plan'!W34</f>
        <v>19969975.926783931</v>
      </c>
    </row>
    <row r="9" spans="1:4" ht="21" customHeight="1" x14ac:dyDescent="0.25">
      <c r="A9" s="184">
        <v>2022</v>
      </c>
      <c r="B9" s="13">
        <v>15720257.843553022</v>
      </c>
      <c r="C9" s="6">
        <f>'2017 5 Yr Plan'!W34</f>
        <v>21881311.719430137</v>
      </c>
      <c r="D9" s="7">
        <f>'2017 Alternative 6 Yr Plan'!X34</f>
        <v>20158199.057735477</v>
      </c>
    </row>
    <row r="10" spans="1:4" ht="21" customHeight="1" x14ac:dyDescent="0.25">
      <c r="A10" s="184">
        <v>2023</v>
      </c>
      <c r="B10" s="13">
        <v>15563055.265117491</v>
      </c>
      <c r="C10" s="6">
        <f>'2017 5 Yr Plan'!X34</f>
        <v>22101559.280987717</v>
      </c>
      <c r="D10" s="7">
        <f>'2017 Alternative 6 Yr Plan'!Y34</f>
        <v>20348304.393055063</v>
      </c>
    </row>
    <row r="11" spans="1:4" ht="21" customHeight="1" thickBot="1" x14ac:dyDescent="0.3">
      <c r="A11" s="185">
        <v>2024</v>
      </c>
      <c r="B11" s="14"/>
      <c r="C11" s="8"/>
      <c r="D11" s="9">
        <f>'2017 Alternative 6 Yr Plan'!Z34</f>
        <v>20540310.799961563</v>
      </c>
    </row>
    <row r="12" spans="1:4" s="3" customFormat="1" ht="32.25" customHeight="1" thickTop="1" x14ac:dyDescent="0.25">
      <c r="A12" s="16" t="s">
        <v>1</v>
      </c>
      <c r="B12" s="15">
        <f>SUM(B2:B11)</f>
        <v>190054956.85173884</v>
      </c>
      <c r="C12" s="10">
        <f>SUM(C2:C11)</f>
        <v>208570541.49195805</v>
      </c>
      <c r="D12" s="11">
        <f>SUM(D2:D11)</f>
        <v>218490112.59425217</v>
      </c>
    </row>
    <row r="13" spans="1:4" s="3" customFormat="1" ht="33.75" customHeight="1" x14ac:dyDescent="0.25">
      <c r="A13" s="24" t="s">
        <v>47</v>
      </c>
      <c r="B13" s="15">
        <v>21746090</v>
      </c>
      <c r="C13" s="182">
        <f>AVERAGE(C5:C7)</f>
        <v>21465162.886284593</v>
      </c>
      <c r="D13" s="11">
        <f>AVERAGE(D5:D7)</f>
        <v>19656608.637016784</v>
      </c>
    </row>
    <row r="14" spans="1:4" s="3" customFormat="1" ht="33.75" customHeight="1" x14ac:dyDescent="0.25">
      <c r="A14" s="18" t="s">
        <v>3</v>
      </c>
      <c r="B14" s="19">
        <v>15880652</v>
      </c>
      <c r="C14" s="20">
        <f>AVERAGE(C6:C10)</f>
        <v>21685655.859756358</v>
      </c>
      <c r="D14" s="21">
        <f>AVERAGE(D6:D11)</f>
        <v>20068855.497223433</v>
      </c>
    </row>
    <row r="15" spans="1:4" ht="33.75" customHeight="1" thickBot="1" x14ac:dyDescent="0.3">
      <c r="A15" s="17" t="s">
        <v>2</v>
      </c>
      <c r="B15" s="4" t="s">
        <v>5</v>
      </c>
      <c r="C15" s="4">
        <f>'2017 5 Yr Plan'!I17</f>
        <v>4.9375051248082693</v>
      </c>
      <c r="D15" s="132">
        <f>'2017 Alternative 6 Yr Plan'!I17</f>
        <v>5.6524093630169219</v>
      </c>
    </row>
    <row r="16" spans="1:4" ht="21" customHeight="1" thickTop="1" x14ac:dyDescent="0.25">
      <c r="A16" s="2"/>
      <c r="B16" s="1"/>
      <c r="C16" s="1"/>
      <c r="D16" s="1"/>
    </row>
    <row r="17" spans="1:4" ht="21" customHeight="1" x14ac:dyDescent="0.25">
      <c r="A17" s="2"/>
      <c r="B17" s="1"/>
      <c r="C17" s="1"/>
      <c r="D17" s="1"/>
    </row>
    <row r="18" spans="1:4" ht="21" customHeight="1" x14ac:dyDescent="0.25">
      <c r="A18" s="2"/>
      <c r="B18" s="1"/>
      <c r="C18" s="1"/>
      <c r="D18" s="1"/>
    </row>
    <row r="19" spans="1:4" ht="21" customHeight="1" x14ac:dyDescent="0.25">
      <c r="A19" s="2"/>
      <c r="B19" s="1"/>
      <c r="C19" s="1"/>
      <c r="D19" s="1"/>
    </row>
    <row r="20" spans="1:4" ht="21" customHeight="1" x14ac:dyDescent="0.25">
      <c r="A20" s="2"/>
      <c r="B20" s="1"/>
      <c r="C20" s="1"/>
      <c r="D20" s="1"/>
    </row>
    <row r="21" spans="1:4" ht="15.75" x14ac:dyDescent="0.25">
      <c r="A21" s="1"/>
      <c r="B21" s="1"/>
      <c r="C21" s="1"/>
      <c r="D21" s="1"/>
    </row>
    <row r="22" spans="1:4" ht="15.75" x14ac:dyDescent="0.25">
      <c r="A22" s="1"/>
      <c r="B22" s="1"/>
      <c r="C22" s="1"/>
      <c r="D22" s="1"/>
    </row>
    <row r="23" spans="1:4" ht="15.75" x14ac:dyDescent="0.25">
      <c r="A23" s="1"/>
      <c r="B23" s="1"/>
      <c r="C23" s="1"/>
      <c r="D23" s="1"/>
    </row>
    <row r="24" spans="1:4" ht="15.75" x14ac:dyDescent="0.25">
      <c r="A24" s="1"/>
      <c r="B24" s="1"/>
      <c r="C24" s="1"/>
      <c r="D24" s="1"/>
    </row>
    <row r="25" spans="1:4" ht="15.75" x14ac:dyDescent="0.25">
      <c r="A25" s="1"/>
      <c r="B25" s="1"/>
      <c r="C25" s="1"/>
      <c r="D25" s="1"/>
    </row>
    <row r="26" spans="1:4" ht="15.75" x14ac:dyDescent="0.25">
      <c r="A26" s="1"/>
      <c r="B26" s="1"/>
      <c r="C26" s="1"/>
      <c r="D26" s="1"/>
    </row>
    <row r="27" spans="1:4" ht="15.75" x14ac:dyDescent="0.25">
      <c r="A27" s="1"/>
      <c r="B27" s="1"/>
      <c r="C27" s="1"/>
      <c r="D27" s="1"/>
    </row>
    <row r="28" spans="1:4" ht="15.75" x14ac:dyDescent="0.25">
      <c r="A28" s="1"/>
      <c r="B28" s="1"/>
      <c r="C28" s="1"/>
      <c r="D28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0"/>
  <sheetViews>
    <sheetView showGridLines="0" zoomScale="70" zoomScaleNormal="70" workbookViewId="0">
      <selection activeCell="I17" sqref="I17"/>
    </sheetView>
  </sheetViews>
  <sheetFormatPr defaultRowHeight="15" x14ac:dyDescent="0.25"/>
  <cols>
    <col min="1" max="1" width="16.7109375" customWidth="1"/>
    <col min="2" max="5" width="8.7109375" customWidth="1"/>
    <col min="6" max="6" width="11.42578125" customWidth="1"/>
    <col min="7" max="16" width="8.7109375" customWidth="1"/>
    <col min="17" max="17" width="17.7109375" customWidth="1"/>
    <col min="18" max="24" width="15.7109375" customWidth="1"/>
    <col min="26" max="26" width="15.140625" customWidth="1"/>
    <col min="27" max="27" width="19.28515625" customWidth="1"/>
    <col min="28" max="28" width="17.7109375" customWidth="1"/>
    <col min="29" max="29" width="17.85546875" customWidth="1"/>
    <col min="30" max="30" width="4.85546875" customWidth="1"/>
    <col min="31" max="31" width="16.5703125" customWidth="1"/>
    <col min="32" max="32" width="17" customWidth="1"/>
  </cols>
  <sheetData>
    <row r="1" spans="1:34" x14ac:dyDescent="0.25">
      <c r="A1" s="190" t="s">
        <v>39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28"/>
      <c r="Z1" s="28"/>
      <c r="AA1" s="28"/>
      <c r="AB1" s="28"/>
      <c r="AC1" s="28"/>
      <c r="AD1" s="28"/>
      <c r="AE1" s="28"/>
      <c r="AF1" s="28"/>
      <c r="AG1" s="28"/>
      <c r="AH1" s="28"/>
    </row>
    <row r="2" spans="1:34" x14ac:dyDescent="0.25">
      <c r="A2" s="190"/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28"/>
      <c r="Z2" s="28"/>
      <c r="AA2" s="28"/>
      <c r="AB2" s="28"/>
      <c r="AC2" s="28"/>
      <c r="AD2" s="28"/>
      <c r="AE2" s="28"/>
      <c r="AF2" s="28"/>
      <c r="AG2" s="28"/>
      <c r="AH2" s="28"/>
    </row>
    <row r="3" spans="1:34" ht="15" customHeight="1" x14ac:dyDescent="0.25">
      <c r="A3" s="194" t="s">
        <v>40</v>
      </c>
      <c r="B3" s="194"/>
      <c r="C3" s="194"/>
      <c r="D3" s="194"/>
      <c r="E3" s="194"/>
      <c r="F3" s="194"/>
      <c r="G3" s="194"/>
      <c r="H3" s="108"/>
      <c r="I3" s="10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</row>
    <row r="4" spans="1:34" ht="15.75" customHeight="1" thickBot="1" x14ac:dyDescent="0.3">
      <c r="A4" s="194"/>
      <c r="B4" s="194"/>
      <c r="C4" s="194"/>
      <c r="D4" s="194"/>
      <c r="E4" s="194"/>
      <c r="F4" s="194"/>
      <c r="G4" s="194"/>
      <c r="H4" s="108"/>
      <c r="I4" s="108"/>
      <c r="J4" s="28"/>
      <c r="K4" s="28"/>
      <c r="L4" s="28"/>
      <c r="M4" s="28"/>
      <c r="N4" s="28"/>
      <c r="O4" s="28"/>
      <c r="P4" s="28"/>
      <c r="Q4" s="29"/>
      <c r="R4" s="29"/>
      <c r="S4" s="29"/>
      <c r="T4" s="29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</row>
    <row r="5" spans="1:34" x14ac:dyDescent="0.25">
      <c r="A5" s="217" t="s">
        <v>0</v>
      </c>
      <c r="B5" s="216" t="s">
        <v>6</v>
      </c>
      <c r="C5" s="216"/>
      <c r="D5" s="219" t="s">
        <v>11</v>
      </c>
      <c r="E5" s="219" t="s">
        <v>12</v>
      </c>
      <c r="F5" s="221" t="s">
        <v>13</v>
      </c>
      <c r="G5" s="198" t="s">
        <v>7</v>
      </c>
      <c r="H5" s="199"/>
      <c r="I5" s="200" t="s">
        <v>8</v>
      </c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</row>
    <row r="6" spans="1:34" ht="15.75" thickBot="1" x14ac:dyDescent="0.3">
      <c r="A6" s="218"/>
      <c r="B6" s="180" t="s">
        <v>9</v>
      </c>
      <c r="C6" s="180" t="s">
        <v>10</v>
      </c>
      <c r="D6" s="220"/>
      <c r="E6" s="220"/>
      <c r="F6" s="222"/>
      <c r="G6" s="181" t="s">
        <v>0</v>
      </c>
      <c r="H6" s="179" t="s">
        <v>14</v>
      </c>
      <c r="I6" s="201"/>
      <c r="J6" s="28"/>
      <c r="K6" s="28"/>
      <c r="L6" s="28"/>
      <c r="M6" s="28"/>
      <c r="N6" s="28"/>
      <c r="O6" s="28"/>
      <c r="P6" s="28"/>
      <c r="Q6" s="31"/>
      <c r="R6" s="31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</row>
    <row r="7" spans="1:34" x14ac:dyDescent="0.25">
      <c r="A7" s="158">
        <v>2010</v>
      </c>
      <c r="B7" s="153">
        <f>B25</f>
        <v>345</v>
      </c>
      <c r="C7" s="153"/>
      <c r="D7" s="153">
        <f t="shared" ref="D7:D15" si="0">SUM(B7:C7)</f>
        <v>345</v>
      </c>
      <c r="E7" s="153">
        <f>B7</f>
        <v>345</v>
      </c>
      <c r="F7" s="159">
        <f>E7-G25</f>
        <v>-89</v>
      </c>
      <c r="G7" s="133">
        <v>2015</v>
      </c>
      <c r="H7" s="146">
        <f t="shared" ref="H7:H15" si="1">F7</f>
        <v>-89</v>
      </c>
      <c r="I7" s="147">
        <v>4.79</v>
      </c>
      <c r="J7" s="28"/>
      <c r="K7" s="28"/>
      <c r="L7" s="28"/>
      <c r="M7" s="28"/>
      <c r="N7" s="28"/>
      <c r="O7" s="28"/>
      <c r="P7" s="28"/>
      <c r="Q7" s="31"/>
      <c r="R7" s="31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</row>
    <row r="8" spans="1:34" ht="21" x14ac:dyDescent="0.25">
      <c r="A8" s="160">
        <v>2011</v>
      </c>
      <c r="B8" s="155">
        <f>C26</f>
        <v>942</v>
      </c>
      <c r="C8" s="155"/>
      <c r="D8" s="155">
        <f t="shared" si="0"/>
        <v>942</v>
      </c>
      <c r="E8" s="156">
        <f>E7+D8</f>
        <v>1287</v>
      </c>
      <c r="F8" s="161">
        <f>E8-(SUM(G25,H26))</f>
        <v>142</v>
      </c>
      <c r="G8" s="150">
        <v>2016</v>
      </c>
      <c r="H8" s="135">
        <f t="shared" si="1"/>
        <v>142</v>
      </c>
      <c r="I8" s="136">
        <v>5.12</v>
      </c>
      <c r="J8" s="28"/>
      <c r="K8" s="28"/>
      <c r="L8" s="28"/>
      <c r="M8" s="32"/>
      <c r="N8" s="32"/>
      <c r="O8" s="32"/>
      <c r="P8" s="31"/>
      <c r="Q8" s="31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</row>
    <row r="9" spans="1:34" ht="21" x14ac:dyDescent="0.25">
      <c r="A9" s="160">
        <v>2012</v>
      </c>
      <c r="B9" s="155">
        <f>D27</f>
        <v>866</v>
      </c>
      <c r="C9" s="155"/>
      <c r="D9" s="155">
        <f t="shared" si="0"/>
        <v>866</v>
      </c>
      <c r="E9" s="156">
        <f>E8+D9</f>
        <v>2153</v>
      </c>
      <c r="F9" s="161">
        <f>E9-(SUM(G25,H26,I27))</f>
        <v>695.00000999999997</v>
      </c>
      <c r="G9" s="150">
        <v>2017</v>
      </c>
      <c r="H9" s="135">
        <f t="shared" si="1"/>
        <v>695.00000999999997</v>
      </c>
      <c r="I9" s="137">
        <f>(F9/I34)+5</f>
        <v>5.4219793778498859</v>
      </c>
      <c r="J9" s="28"/>
      <c r="K9" s="28"/>
      <c r="L9" s="28"/>
      <c r="M9" s="32"/>
      <c r="N9" s="32"/>
      <c r="O9" s="32"/>
      <c r="P9" s="32"/>
      <c r="Q9" s="31"/>
      <c r="R9" s="31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</row>
    <row r="10" spans="1:34" ht="21.75" thickBot="1" x14ac:dyDescent="0.3">
      <c r="A10" s="160">
        <v>2013</v>
      </c>
      <c r="B10" s="155">
        <f>E28</f>
        <v>831</v>
      </c>
      <c r="C10" s="155"/>
      <c r="D10" s="155">
        <f t="shared" si="0"/>
        <v>831</v>
      </c>
      <c r="E10" s="156">
        <f>E9+D10</f>
        <v>2984</v>
      </c>
      <c r="F10" s="161">
        <f>E10-(SUM(G25,H26,I27,J28))</f>
        <v>46.61485999999968</v>
      </c>
      <c r="G10" s="151">
        <v>2018</v>
      </c>
      <c r="H10" s="139">
        <f t="shared" si="1"/>
        <v>46.61485999999968</v>
      </c>
      <c r="I10" s="140">
        <f>(F10/J34)+5</f>
        <v>5.0287146020550146</v>
      </c>
      <c r="J10" s="28"/>
      <c r="K10" s="28"/>
      <c r="L10" s="28"/>
      <c r="M10" s="162"/>
      <c r="N10" s="32"/>
      <c r="O10" s="32"/>
      <c r="P10" s="32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</row>
    <row r="11" spans="1:34" ht="21" x14ac:dyDescent="0.25">
      <c r="A11" s="160">
        <v>2014</v>
      </c>
      <c r="B11" s="156">
        <f>F29</f>
        <v>1155</v>
      </c>
      <c r="C11" s="155"/>
      <c r="D11" s="155">
        <f t="shared" si="0"/>
        <v>1155</v>
      </c>
      <c r="E11" s="156">
        <f>E10+D11</f>
        <v>4139</v>
      </c>
      <c r="F11" s="161">
        <f>E11-(SUM(G25,H26,I27,J28,K25))</f>
        <v>-421.36359000000084</v>
      </c>
      <c r="G11" s="133">
        <v>2019</v>
      </c>
      <c r="H11" s="142">
        <f t="shared" si="1"/>
        <v>-421.36359000000084</v>
      </c>
      <c r="I11" s="143">
        <f>(F11/K25)+5</f>
        <v>4.7403763494210285</v>
      </c>
      <c r="J11" s="28"/>
      <c r="K11" s="28"/>
      <c r="L11" s="28"/>
      <c r="M11" s="32"/>
      <c r="N11" s="32"/>
      <c r="O11" s="32"/>
      <c r="P11" s="32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</row>
    <row r="12" spans="1:34" x14ac:dyDescent="0.25">
      <c r="A12" s="160">
        <v>2015</v>
      </c>
      <c r="B12" s="156">
        <f>G30</f>
        <v>1402</v>
      </c>
      <c r="C12" s="155">
        <f>G25</f>
        <v>434</v>
      </c>
      <c r="D12" s="155">
        <f t="shared" si="0"/>
        <v>1836</v>
      </c>
      <c r="E12" s="156">
        <f>E11+B12</f>
        <v>5541</v>
      </c>
      <c r="F12" s="161">
        <f>E12+C12-(SUM(G25,H26,I27,J28,K25,L26))</f>
        <v>-207.39559000000099</v>
      </c>
      <c r="G12" s="150">
        <v>2020</v>
      </c>
      <c r="H12" s="144">
        <f t="shared" si="1"/>
        <v>-207.39559000000099</v>
      </c>
      <c r="I12" s="137">
        <f>(F12/L34)+5</f>
        <v>4.8721384103396224</v>
      </c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</row>
    <row r="13" spans="1:34" x14ac:dyDescent="0.25">
      <c r="A13" s="160">
        <v>2016</v>
      </c>
      <c r="B13" s="156">
        <f>H31</f>
        <v>1093.8301899999999</v>
      </c>
      <c r="C13" s="155">
        <f>H26</f>
        <v>711</v>
      </c>
      <c r="D13" s="155">
        <f t="shared" si="0"/>
        <v>1804.8301899999999</v>
      </c>
      <c r="E13" s="156">
        <f>E12+B13</f>
        <v>6634.8301899999997</v>
      </c>
      <c r="F13" s="161">
        <f>E13+C12+C13-(SUM(G25,H26,I27,J28,K25,L26,M27))</f>
        <v>-25.544250000001739</v>
      </c>
      <c r="G13" s="150">
        <v>2021</v>
      </c>
      <c r="H13" s="144">
        <f t="shared" si="1"/>
        <v>-25.544250000001739</v>
      </c>
      <c r="I13" s="137">
        <f>(F13/M34)+5</f>
        <v>4.9842608854699479</v>
      </c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</row>
    <row r="14" spans="1:34" x14ac:dyDescent="0.25">
      <c r="A14" s="160">
        <v>2017</v>
      </c>
      <c r="B14" s="156">
        <f>I32</f>
        <v>1333.9999499999999</v>
      </c>
      <c r="C14" s="154">
        <f>I27</f>
        <v>312.99999000000003</v>
      </c>
      <c r="D14" s="156">
        <f t="shared" si="0"/>
        <v>1646.9999399999999</v>
      </c>
      <c r="E14" s="156">
        <f>E13+B14</f>
        <v>7968.83014</v>
      </c>
      <c r="F14" s="161">
        <f>E14+C12+C13+C14-(SUM(G25,H26,I27,J28,K25,L26,M27,N28))</f>
        <v>-0.57571000000098138</v>
      </c>
      <c r="G14" s="150">
        <v>2022</v>
      </c>
      <c r="H14" s="144">
        <f t="shared" si="1"/>
        <v>-0.57571000000098138</v>
      </c>
      <c r="I14" s="137">
        <f>(F14/N34)+5</f>
        <v>4.9996450685233338</v>
      </c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</row>
    <row r="15" spans="1:34" ht="15.75" thickBot="1" x14ac:dyDescent="0.3">
      <c r="A15" s="160">
        <v>2018</v>
      </c>
      <c r="B15" s="155">
        <f>J33</f>
        <v>144.00004999999999</v>
      </c>
      <c r="C15" s="154">
        <f>J28</f>
        <v>1479.3851500000001</v>
      </c>
      <c r="D15" s="156">
        <f t="shared" si="0"/>
        <v>1623.3852000000002</v>
      </c>
      <c r="E15" s="156">
        <f>E14+B15</f>
        <v>8112.8301899999997</v>
      </c>
      <c r="F15" s="161">
        <f>E15+C12+C13+C14+C15-(SUM(G25,H26,I27,J28,K25,L26,M27,N28,O29))</f>
        <v>-0.16971000000012282</v>
      </c>
      <c r="G15" s="151">
        <v>2023</v>
      </c>
      <c r="H15" s="139">
        <f t="shared" si="1"/>
        <v>-0.16971000000012282</v>
      </c>
      <c r="I15" s="140">
        <f>(F15/O34)+5</f>
        <v>4.9998954330406695</v>
      </c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</row>
    <row r="16" spans="1:34" ht="15.75" thickBot="1" x14ac:dyDescent="0.3">
      <c r="A16" s="163" t="s">
        <v>15</v>
      </c>
      <c r="B16" s="164">
        <f>SUM(B7:B15)</f>
        <v>8112.8301899999997</v>
      </c>
      <c r="C16" s="164">
        <f>SUM(C7:C15)</f>
        <v>2937.3851400000003</v>
      </c>
      <c r="D16" s="152"/>
      <c r="E16" s="152"/>
      <c r="F16" s="157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</row>
    <row r="17" spans="1:34" x14ac:dyDescent="0.25">
      <c r="A17" s="28"/>
      <c r="B17" s="28"/>
      <c r="C17" s="29"/>
      <c r="D17" s="202" t="s">
        <v>16</v>
      </c>
      <c r="E17" s="202"/>
      <c r="F17" s="202"/>
      <c r="G17" s="202"/>
      <c r="H17" s="202"/>
      <c r="I17" s="145">
        <f>AVERAGE(I10:I15)</f>
        <v>4.9375051248082693</v>
      </c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</row>
    <row r="18" spans="1:34" ht="18.75" x14ac:dyDescent="0.3">
      <c r="A18" s="28"/>
      <c r="B18" s="28"/>
      <c r="C18" s="28"/>
      <c r="D18" s="28"/>
      <c r="E18" s="28"/>
      <c r="F18" s="28"/>
      <c r="G18" s="33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</row>
    <row r="19" spans="1:34" ht="18.75" x14ac:dyDescent="0.3">
      <c r="A19" s="194" t="s">
        <v>48</v>
      </c>
      <c r="B19" s="194"/>
      <c r="C19" s="194"/>
      <c r="D19" s="194"/>
      <c r="E19" s="194"/>
      <c r="F19" s="194"/>
      <c r="G19" s="33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</row>
    <row r="20" spans="1:34" ht="15.75" thickBot="1" x14ac:dyDescent="0.3">
      <c r="A20" s="206"/>
      <c r="B20" s="206"/>
      <c r="C20" s="206"/>
      <c r="D20" s="206"/>
      <c r="E20" s="206"/>
      <c r="F20" s="206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</row>
    <row r="21" spans="1:34" ht="15.75" thickTop="1" x14ac:dyDescent="0.25">
      <c r="A21" s="210" t="s">
        <v>38</v>
      </c>
      <c r="B21" s="211"/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2"/>
      <c r="P21" s="28"/>
      <c r="Q21" s="210" t="s">
        <v>49</v>
      </c>
      <c r="R21" s="211"/>
      <c r="S21" s="211"/>
      <c r="T21" s="211"/>
      <c r="U21" s="211"/>
      <c r="V21" s="211"/>
      <c r="W21" s="211"/>
      <c r="X21" s="212"/>
      <c r="Y21" s="28"/>
      <c r="Z21" s="28"/>
      <c r="AA21" s="28"/>
      <c r="AB21" s="28"/>
      <c r="AC21" s="28"/>
      <c r="AD21" s="28"/>
      <c r="AE21" s="28"/>
      <c r="AF21" s="28"/>
      <c r="AG21" s="28"/>
      <c r="AH21" s="28"/>
    </row>
    <row r="22" spans="1:34" ht="15.75" thickBot="1" x14ac:dyDescent="0.3">
      <c r="A22" s="213"/>
      <c r="B22" s="214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5"/>
      <c r="P22" s="28"/>
      <c r="Q22" s="213"/>
      <c r="R22" s="214"/>
      <c r="S22" s="214"/>
      <c r="T22" s="214"/>
      <c r="U22" s="214"/>
      <c r="V22" s="214"/>
      <c r="W22" s="214"/>
      <c r="X22" s="215"/>
      <c r="Y22" s="28"/>
      <c r="Z22" s="28"/>
      <c r="AA22" s="28"/>
      <c r="AB22" s="28"/>
      <c r="AC22" s="28"/>
      <c r="AD22" s="28"/>
      <c r="AE22" s="28"/>
      <c r="AF22" s="28"/>
      <c r="AG22" s="28"/>
      <c r="AH22" s="28"/>
    </row>
    <row r="23" spans="1:34" ht="15.75" x14ac:dyDescent="0.25">
      <c r="A23" s="34"/>
      <c r="B23" s="35">
        <v>2010</v>
      </c>
      <c r="C23" s="35">
        <v>2011</v>
      </c>
      <c r="D23" s="35">
        <v>2012</v>
      </c>
      <c r="E23" s="35">
        <v>2013</v>
      </c>
      <c r="F23" s="35">
        <v>2014</v>
      </c>
      <c r="G23" s="35">
        <v>2015</v>
      </c>
      <c r="H23" s="35">
        <v>2016</v>
      </c>
      <c r="I23" s="35">
        <v>2017</v>
      </c>
      <c r="J23" s="35">
        <v>2018</v>
      </c>
      <c r="K23" s="35">
        <v>2019</v>
      </c>
      <c r="L23" s="35">
        <v>2020</v>
      </c>
      <c r="M23" s="35">
        <v>2021</v>
      </c>
      <c r="N23" s="36">
        <v>2022</v>
      </c>
      <c r="O23" s="37">
        <v>2023</v>
      </c>
      <c r="P23" s="28"/>
      <c r="Q23" s="38"/>
      <c r="R23" s="39">
        <v>2017</v>
      </c>
      <c r="S23" s="39">
        <v>2018</v>
      </c>
      <c r="T23" s="39">
        <v>2019</v>
      </c>
      <c r="U23" s="39">
        <v>2020</v>
      </c>
      <c r="V23" s="39">
        <v>2021</v>
      </c>
      <c r="W23" s="40">
        <v>2022</v>
      </c>
      <c r="X23" s="41">
        <v>2023</v>
      </c>
      <c r="Y23" s="28"/>
      <c r="Z23" s="28"/>
      <c r="AA23" s="189">
        <v>2016</v>
      </c>
      <c r="AB23" s="43" t="s">
        <v>17</v>
      </c>
      <c r="AC23" s="44" t="s">
        <v>18</v>
      </c>
      <c r="AD23" s="28"/>
      <c r="AE23" s="28"/>
      <c r="AF23" s="28"/>
      <c r="AG23" s="28"/>
      <c r="AH23" s="28"/>
    </row>
    <row r="24" spans="1:34" ht="15.75" x14ac:dyDescent="0.25">
      <c r="A24" s="45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7"/>
      <c r="O24" s="48"/>
      <c r="P24" s="28"/>
      <c r="Q24" s="49"/>
      <c r="R24" s="50"/>
      <c r="S24" s="50"/>
      <c r="T24" s="50"/>
      <c r="U24" s="50"/>
      <c r="V24" s="50"/>
      <c r="W24" s="51"/>
      <c r="X24" s="52"/>
      <c r="Y24" s="28"/>
      <c r="Z24" s="76" t="s">
        <v>19</v>
      </c>
      <c r="AA24" s="53">
        <v>17089329.960000001</v>
      </c>
      <c r="AB24" s="53">
        <f>403475.95</f>
        <v>403475.95</v>
      </c>
      <c r="AC24" s="53">
        <f>SUM(AA24,AB24)/H31</f>
        <v>15992.250049342671</v>
      </c>
      <c r="AD24" s="28"/>
      <c r="AE24" s="28"/>
      <c r="AF24" s="28"/>
      <c r="AG24" s="28"/>
      <c r="AH24" s="28"/>
    </row>
    <row r="25" spans="1:34" ht="15.75" x14ac:dyDescent="0.25">
      <c r="A25" s="54" t="s">
        <v>20</v>
      </c>
      <c r="B25" s="55">
        <v>345</v>
      </c>
      <c r="C25" s="50"/>
      <c r="D25" s="56"/>
      <c r="E25" s="50"/>
      <c r="F25" s="50"/>
      <c r="G25" s="57">
        <v>434</v>
      </c>
      <c r="H25" s="58"/>
      <c r="I25" s="58"/>
      <c r="J25" s="50"/>
      <c r="K25" s="59">
        <v>1622.9784500000001</v>
      </c>
      <c r="L25" s="50"/>
      <c r="M25" s="60"/>
      <c r="N25" s="60"/>
      <c r="O25" s="52"/>
      <c r="P25" s="28"/>
      <c r="Q25" s="61" t="s">
        <v>20</v>
      </c>
      <c r="R25" s="58"/>
      <c r="S25" s="50"/>
      <c r="T25" s="62">
        <f>(K25*AB31)</f>
        <v>21283946.047741558</v>
      </c>
      <c r="U25" s="50"/>
      <c r="V25" s="63"/>
      <c r="W25" s="51"/>
      <c r="X25" s="52"/>
      <c r="Y25" s="28"/>
      <c r="Z25" s="76" t="s">
        <v>21</v>
      </c>
      <c r="AA25" s="53">
        <v>9979139.2799999993</v>
      </c>
      <c r="AB25" s="53">
        <v>302600.28999999998</v>
      </c>
      <c r="AC25" s="53">
        <f>SUM(AA25:AB25)/H26</f>
        <v>14460.955794655412</v>
      </c>
      <c r="AD25" s="28"/>
      <c r="AE25" s="28"/>
      <c r="AF25" s="28"/>
      <c r="AG25" s="28"/>
      <c r="AH25" s="28"/>
    </row>
    <row r="26" spans="1:34" ht="15.75" x14ac:dyDescent="0.25">
      <c r="A26" s="54" t="s">
        <v>22</v>
      </c>
      <c r="B26" s="50"/>
      <c r="C26" s="55">
        <v>942</v>
      </c>
      <c r="D26" s="50"/>
      <c r="E26" s="50"/>
      <c r="F26" s="50"/>
      <c r="G26" s="50"/>
      <c r="H26" s="57">
        <v>711</v>
      </c>
      <c r="I26" s="50"/>
      <c r="J26" s="50"/>
      <c r="K26" s="50"/>
      <c r="L26" s="59">
        <v>1622.0319999999999</v>
      </c>
      <c r="M26" s="50"/>
      <c r="N26" s="64"/>
      <c r="O26" s="65"/>
      <c r="P26" s="28"/>
      <c r="Q26" s="61" t="s">
        <v>22</v>
      </c>
      <c r="R26" s="50"/>
      <c r="S26" s="50"/>
      <c r="T26" s="50"/>
      <c r="U26" s="62">
        <f>(L26*AB32)</f>
        <v>21472776.923601754</v>
      </c>
      <c r="V26" s="50"/>
      <c r="W26" s="63"/>
      <c r="X26" s="52"/>
      <c r="Y26" s="28"/>
      <c r="Z26" s="76" t="s">
        <v>23</v>
      </c>
      <c r="AA26" s="53">
        <v>8009850.0199999996</v>
      </c>
      <c r="AB26" s="53">
        <f>AB25</f>
        <v>302600.28999999998</v>
      </c>
      <c r="AC26" s="53">
        <f>SUM(AA26:AB26)/H26</f>
        <v>11691.21</v>
      </c>
      <c r="AD26" s="28"/>
      <c r="AE26" s="28"/>
      <c r="AF26" s="28"/>
      <c r="AG26" s="28"/>
      <c r="AH26" s="28"/>
    </row>
    <row r="27" spans="1:34" ht="15.75" x14ac:dyDescent="0.25">
      <c r="A27" s="54" t="s">
        <v>24</v>
      </c>
      <c r="B27" s="50"/>
      <c r="C27" s="50"/>
      <c r="D27" s="55">
        <v>866</v>
      </c>
      <c r="E27" s="50"/>
      <c r="F27" s="50"/>
      <c r="G27" s="50"/>
      <c r="H27" s="50"/>
      <c r="I27" s="66">
        <v>312.99999000000003</v>
      </c>
      <c r="J27" s="50"/>
      <c r="K27" s="50"/>
      <c r="L27" s="50"/>
      <c r="M27" s="59">
        <v>1622.97885</v>
      </c>
      <c r="N27" s="50"/>
      <c r="O27" s="52"/>
      <c r="P27" s="28"/>
      <c r="Q27" s="61" t="s">
        <v>24</v>
      </c>
      <c r="R27" s="67">
        <f>(12795.52716*I27)</f>
        <v>4004999.8731247284</v>
      </c>
      <c r="S27" s="63"/>
      <c r="T27" s="68"/>
      <c r="U27" s="68"/>
      <c r="V27" s="62">
        <f>(M27*AB33)</f>
        <v>21688685.327020627</v>
      </c>
      <c r="W27" s="63"/>
      <c r="X27" s="69"/>
      <c r="Y27" s="28"/>
      <c r="Z27" s="28"/>
      <c r="AA27" s="53"/>
      <c r="AB27" s="53"/>
      <c r="AC27" s="53"/>
      <c r="AD27" s="28"/>
      <c r="AE27" s="28"/>
      <c r="AF27" s="28"/>
      <c r="AG27" s="28"/>
      <c r="AH27" s="28"/>
    </row>
    <row r="28" spans="1:34" ht="15.75" x14ac:dyDescent="0.25">
      <c r="A28" s="54" t="s">
        <v>25</v>
      </c>
      <c r="B28" s="50"/>
      <c r="C28" s="50"/>
      <c r="D28" s="50"/>
      <c r="E28" s="55">
        <v>831</v>
      </c>
      <c r="F28" s="50"/>
      <c r="G28" s="50"/>
      <c r="H28" s="50"/>
      <c r="I28" s="50"/>
      <c r="J28" s="66">
        <v>1479.3851500000001</v>
      </c>
      <c r="K28" s="50"/>
      <c r="L28" s="50"/>
      <c r="M28" s="50"/>
      <c r="N28" s="59">
        <v>1622.0314000000001</v>
      </c>
      <c r="O28" s="52"/>
      <c r="P28" s="28"/>
      <c r="Q28" s="61" t="s">
        <v>25</v>
      </c>
      <c r="R28" s="63"/>
      <c r="S28" s="67">
        <f>(AB30*J28)</f>
        <v>19219117.712437611</v>
      </c>
      <c r="T28" s="68"/>
      <c r="U28" s="68"/>
      <c r="V28" s="68"/>
      <c r="W28" s="62">
        <f>(N28*AB34)</f>
        <v>21881311.719430137</v>
      </c>
      <c r="X28" s="70"/>
      <c r="Y28" s="28"/>
      <c r="Z28" s="28"/>
      <c r="AA28" s="28"/>
      <c r="AB28" s="28"/>
      <c r="AC28" s="28"/>
      <c r="AD28" s="28"/>
      <c r="AE28" s="28"/>
      <c r="AF28" s="28"/>
      <c r="AG28" s="28"/>
      <c r="AH28" s="28"/>
    </row>
    <row r="29" spans="1:34" ht="15.75" x14ac:dyDescent="0.25">
      <c r="A29" s="54" t="s">
        <v>26</v>
      </c>
      <c r="B29" s="50"/>
      <c r="C29" s="50"/>
      <c r="D29" s="50"/>
      <c r="E29" s="50"/>
      <c r="F29" s="55">
        <v>1155</v>
      </c>
      <c r="G29" s="50"/>
      <c r="H29" s="50"/>
      <c r="I29" s="50"/>
      <c r="J29" s="50"/>
      <c r="K29" s="71"/>
      <c r="L29" s="50"/>
      <c r="M29" s="50"/>
      <c r="N29" s="50"/>
      <c r="O29" s="72">
        <v>1622.9792</v>
      </c>
      <c r="P29" s="28"/>
      <c r="Q29" s="61" t="s">
        <v>26</v>
      </c>
      <c r="R29" s="63"/>
      <c r="S29" s="63"/>
      <c r="T29" s="63"/>
      <c r="U29" s="68"/>
      <c r="V29" s="68"/>
      <c r="W29" s="73"/>
      <c r="X29" s="74">
        <f>(O29*AB35)</f>
        <v>22101559.280987717</v>
      </c>
      <c r="Y29" s="28"/>
      <c r="Z29" s="28"/>
      <c r="AA29" s="43" t="s">
        <v>19</v>
      </c>
      <c r="AB29" s="43" t="s">
        <v>51</v>
      </c>
      <c r="AC29" s="43" t="s">
        <v>52</v>
      </c>
      <c r="AD29" s="28"/>
      <c r="AE29" s="28"/>
      <c r="AF29" s="28"/>
      <c r="AG29" s="28"/>
      <c r="AH29" s="28"/>
    </row>
    <row r="30" spans="1:34" ht="15.75" x14ac:dyDescent="0.25">
      <c r="A30" s="54" t="s">
        <v>27</v>
      </c>
      <c r="B30" s="50"/>
      <c r="C30" s="50"/>
      <c r="D30" s="50"/>
      <c r="E30" s="50"/>
      <c r="F30" s="50"/>
      <c r="G30" s="55">
        <v>1402</v>
      </c>
      <c r="H30" s="50"/>
      <c r="I30" s="50"/>
      <c r="J30" s="50"/>
      <c r="K30" s="50"/>
      <c r="L30" s="71"/>
      <c r="M30" s="50"/>
      <c r="N30" s="50"/>
      <c r="O30" s="52"/>
      <c r="P30" s="28"/>
      <c r="Q30" s="61" t="s">
        <v>27</v>
      </c>
      <c r="R30" s="63"/>
      <c r="S30" s="63"/>
      <c r="T30" s="68"/>
      <c r="U30" s="63"/>
      <c r="V30" s="68"/>
      <c r="W30" s="73"/>
      <c r="X30" s="70"/>
      <c r="Y30" s="28"/>
      <c r="Z30" s="43">
        <v>2018</v>
      </c>
      <c r="AA30" s="53">
        <f>AC24*1.01*1.01*1.03</f>
        <v>16803.105103594495</v>
      </c>
      <c r="AB30" s="53">
        <f>(AC26*1.01*1.01*1.03)+(AF34/1622.6)</f>
        <v>12991.28743616063</v>
      </c>
      <c r="AC30" s="75">
        <f>S28+S33</f>
        <v>21638765.687510472</v>
      </c>
      <c r="AD30" s="28"/>
      <c r="AE30" s="76"/>
      <c r="AF30" s="28"/>
      <c r="AG30" s="28"/>
      <c r="AH30" s="28"/>
    </row>
    <row r="31" spans="1:34" ht="15.75" x14ac:dyDescent="0.25">
      <c r="A31" s="54" t="s">
        <v>28</v>
      </c>
      <c r="B31" s="50"/>
      <c r="C31" s="50"/>
      <c r="D31" s="50"/>
      <c r="E31" s="50"/>
      <c r="F31" s="50"/>
      <c r="G31" s="50"/>
      <c r="H31" s="55">
        <v>1093.8301899999999</v>
      </c>
      <c r="I31" s="50"/>
      <c r="J31" s="50"/>
      <c r="K31" s="50"/>
      <c r="L31" s="50"/>
      <c r="M31" s="50"/>
      <c r="N31" s="50"/>
      <c r="O31" s="52"/>
      <c r="P31" s="28"/>
      <c r="Q31" s="61" t="s">
        <v>28</v>
      </c>
      <c r="R31" s="63"/>
      <c r="S31" s="63"/>
      <c r="T31" s="68"/>
      <c r="U31" s="68"/>
      <c r="V31" s="76"/>
      <c r="W31" s="73"/>
      <c r="X31" s="70"/>
      <c r="Y31" s="28"/>
      <c r="Z31" s="43">
        <v>2019</v>
      </c>
      <c r="AA31" s="53">
        <f t="shared" ref="AA31:AA35" si="2">AA30*1.01</f>
        <v>16971.13615463044</v>
      </c>
      <c r="AB31" s="53">
        <f>(AC26*1.01*1.01*1.03*1.01)+(AF34/1622.6)</f>
        <v>13114.12733036693</v>
      </c>
      <c r="AC31" s="75">
        <f>T25</f>
        <v>21283946.047741558</v>
      </c>
      <c r="AD31" s="28"/>
      <c r="AE31" s="28"/>
      <c r="AF31" s="28"/>
      <c r="AG31" s="28"/>
      <c r="AH31" s="28"/>
    </row>
    <row r="32" spans="1:34" ht="15.75" x14ac:dyDescent="0.25">
      <c r="A32" s="54" t="s">
        <v>29</v>
      </c>
      <c r="B32" s="50"/>
      <c r="C32" s="50"/>
      <c r="D32" s="50"/>
      <c r="E32" s="50"/>
      <c r="F32" s="50"/>
      <c r="G32" s="50"/>
      <c r="H32" s="50"/>
      <c r="I32" s="78">
        <v>1333.9999499999999</v>
      </c>
      <c r="J32" s="50"/>
      <c r="K32" s="50"/>
      <c r="L32" s="50"/>
      <c r="M32" s="50"/>
      <c r="N32" s="50"/>
      <c r="O32" s="52"/>
      <c r="P32" s="28"/>
      <c r="Q32" s="61" t="s">
        <v>29</v>
      </c>
      <c r="R32" s="79">
        <f>(17733.1788*I32)</f>
        <v>23656059.63254106</v>
      </c>
      <c r="S32" s="63"/>
      <c r="T32" s="68"/>
      <c r="U32" s="68"/>
      <c r="V32" s="68"/>
      <c r="W32" s="76"/>
      <c r="X32" s="70"/>
      <c r="Y32" s="28"/>
      <c r="Z32" s="43">
        <v>2020</v>
      </c>
      <c r="AA32" s="53">
        <f t="shared" si="2"/>
        <v>17140.847516176746</v>
      </c>
      <c r="AB32" s="53">
        <f>(AC26*1.01*1.01*1.03*1.01*1.01)+(AF34/1622.6)</f>
        <v>13238.195623515292</v>
      </c>
      <c r="AC32" s="75">
        <f>U26</f>
        <v>21472776.923601754</v>
      </c>
      <c r="AD32" s="28"/>
      <c r="AE32" s="28" t="s">
        <v>53</v>
      </c>
      <c r="AF32" s="77">
        <f>18522.53-11691.21</f>
        <v>6831.32</v>
      </c>
      <c r="AG32" s="28"/>
      <c r="AH32" s="28"/>
    </row>
    <row r="33" spans="1:34" ht="16.5" thickBot="1" x14ac:dyDescent="0.3">
      <c r="A33" s="54" t="s">
        <v>30</v>
      </c>
      <c r="B33" s="50"/>
      <c r="C33" s="50"/>
      <c r="D33" s="50"/>
      <c r="E33" s="50"/>
      <c r="F33" s="50"/>
      <c r="G33" s="50"/>
      <c r="H33" s="50"/>
      <c r="I33" s="50"/>
      <c r="J33" s="55">
        <v>144.00004999999999</v>
      </c>
      <c r="K33" s="50"/>
      <c r="L33" s="50"/>
      <c r="M33" s="50"/>
      <c r="N33" s="50"/>
      <c r="O33" s="52"/>
      <c r="P33" s="28"/>
      <c r="Q33" s="61" t="s">
        <v>30</v>
      </c>
      <c r="R33" s="63"/>
      <c r="S33" s="79">
        <f>AA30*J33</f>
        <v>2419647.9750728621</v>
      </c>
      <c r="T33" s="68"/>
      <c r="U33" s="68"/>
      <c r="V33" s="68"/>
      <c r="W33" s="73"/>
      <c r="X33" s="65"/>
      <c r="Y33" s="28"/>
      <c r="Z33" s="43">
        <v>2021</v>
      </c>
      <c r="AA33" s="53">
        <f t="shared" si="2"/>
        <v>17312.255991338512</v>
      </c>
      <c r="AB33" s="53">
        <f>(AC26*1.01*1.01*1.03*1.01*1.01*1.01)+(AF34/1622.6)</f>
        <v>13363.504599595139</v>
      </c>
      <c r="AC33" s="75">
        <f>V27</f>
        <v>21688685.327020627</v>
      </c>
      <c r="AD33" s="28"/>
      <c r="AE33" s="28" t="s">
        <v>31</v>
      </c>
      <c r="AF33" s="28">
        <v>168</v>
      </c>
      <c r="AG33" s="28"/>
      <c r="AH33" s="28"/>
    </row>
    <row r="34" spans="1:34" ht="16.5" thickTop="1" x14ac:dyDescent="0.25">
      <c r="A34" s="80" t="s">
        <v>32</v>
      </c>
      <c r="B34" s="81">
        <v>345</v>
      </c>
      <c r="C34" s="81">
        <v>942</v>
      </c>
      <c r="D34" s="81">
        <v>866</v>
      </c>
      <c r="E34" s="81">
        <v>831</v>
      </c>
      <c r="F34" s="81">
        <v>1155</v>
      </c>
      <c r="G34" s="81">
        <v>1836</v>
      </c>
      <c r="H34" s="81">
        <v>1805</v>
      </c>
      <c r="I34" s="82">
        <f>SUM(I27:I33)</f>
        <v>1646.9999399999999</v>
      </c>
      <c r="J34" s="82">
        <f>SUM(J28:J33)</f>
        <v>1623.3852000000002</v>
      </c>
      <c r="K34" s="82">
        <f>SUM(K25:K33)</f>
        <v>1622.9784500000001</v>
      </c>
      <c r="L34" s="82">
        <f>SUM(L26:L33)</f>
        <v>1622.0319999999999</v>
      </c>
      <c r="M34" s="82">
        <f>SUM(M26:M33)</f>
        <v>1622.97885</v>
      </c>
      <c r="N34" s="83">
        <f>SUM(N26:N33)</f>
        <v>1622.0314000000001</v>
      </c>
      <c r="O34" s="84">
        <f>SUM(O26:O33)</f>
        <v>1622.9792</v>
      </c>
      <c r="P34" s="28"/>
      <c r="Q34" s="85" t="s">
        <v>32</v>
      </c>
      <c r="R34" s="86">
        <f>SUM(R27:R33)</f>
        <v>27661059.50566579</v>
      </c>
      <c r="S34" s="86">
        <f>SUM(S28:S33)</f>
        <v>21638765.687510472</v>
      </c>
      <c r="T34" s="86">
        <f>SUM(T25:T33)</f>
        <v>21283946.047741558</v>
      </c>
      <c r="U34" s="86">
        <f>SUM(U25:U33)</f>
        <v>21472776.923601754</v>
      </c>
      <c r="V34" s="86">
        <f>SUM(V25:V33)</f>
        <v>21688685.327020627</v>
      </c>
      <c r="W34" s="87">
        <f>SUM(W25:W33)</f>
        <v>21881311.719430137</v>
      </c>
      <c r="X34" s="88">
        <f>SUM(X25:X33)</f>
        <v>22101559.280987717</v>
      </c>
      <c r="Y34" s="28"/>
      <c r="Z34" s="43">
        <v>2022</v>
      </c>
      <c r="AA34" s="53">
        <f t="shared" si="2"/>
        <v>17485.378551251899</v>
      </c>
      <c r="AB34" s="53">
        <f>(AC26*1.01*1.01*1.03*1.01*1.01*1.01*1.01)+(AF34/1622.6)</f>
        <v>13490.066665435785</v>
      </c>
      <c r="AC34" s="75">
        <f>W28</f>
        <v>21881311.719430137</v>
      </c>
      <c r="AD34" s="28"/>
      <c r="AE34" s="28" t="s">
        <v>33</v>
      </c>
      <c r="AF34" s="77">
        <f>AF32*AF33</f>
        <v>1147661.76</v>
      </c>
      <c r="AG34" s="28"/>
      <c r="AH34" s="28"/>
    </row>
    <row r="35" spans="1:34" x14ac:dyDescent="0.25">
      <c r="A35" s="89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90"/>
      <c r="P35" s="28"/>
      <c r="Q35" s="91"/>
      <c r="R35" s="92"/>
      <c r="S35" s="92"/>
      <c r="T35" s="92"/>
      <c r="U35" s="92"/>
      <c r="V35" s="92"/>
      <c r="W35" s="92"/>
      <c r="X35" s="93"/>
      <c r="Y35" s="28"/>
      <c r="Z35" s="43">
        <v>2023</v>
      </c>
      <c r="AA35" s="53">
        <f t="shared" si="2"/>
        <v>17660.232336764417</v>
      </c>
      <c r="AB35" s="53">
        <f>(AC26*1.01*1.01*1.03*1.01*1.01*1.01*1.01*1.01)+(AF34/1622.6)</f>
        <v>13617.894351934836</v>
      </c>
      <c r="AC35" s="75">
        <f>X29</f>
        <v>22101559.280987717</v>
      </c>
      <c r="AD35" s="28"/>
      <c r="AE35" s="28"/>
      <c r="AF35" s="28"/>
      <c r="AG35" s="28"/>
      <c r="AH35" s="28"/>
    </row>
    <row r="36" spans="1:34" ht="15.75" x14ac:dyDescent="0.25">
      <c r="A36" s="94"/>
      <c r="B36" s="95"/>
      <c r="C36" s="95"/>
      <c r="D36" s="95"/>
      <c r="E36" s="96"/>
      <c r="F36" s="97"/>
      <c r="G36" s="203" t="s">
        <v>34</v>
      </c>
      <c r="H36" s="204"/>
      <c r="I36" s="204"/>
      <c r="J36" s="204"/>
      <c r="K36" s="204"/>
      <c r="L36" s="204"/>
      <c r="M36" s="204"/>
      <c r="N36" s="204"/>
      <c r="O36" s="205"/>
      <c r="P36" s="28"/>
      <c r="Q36" s="91"/>
      <c r="R36" s="92"/>
      <c r="S36" s="98"/>
      <c r="T36" s="191" t="s">
        <v>34</v>
      </c>
      <c r="U36" s="192"/>
      <c r="V36" s="192"/>
      <c r="W36" s="192"/>
      <c r="X36" s="193"/>
      <c r="Y36" s="28"/>
      <c r="Z36" s="28"/>
      <c r="AA36" s="28"/>
      <c r="AB36" s="28"/>
      <c r="AC36" s="30"/>
      <c r="AD36" s="28"/>
      <c r="AE36" s="28"/>
      <c r="AF36" s="28"/>
      <c r="AG36" s="28"/>
      <c r="AH36" s="28"/>
    </row>
    <row r="37" spans="1:34" ht="15.75" x14ac:dyDescent="0.25">
      <c r="A37" s="94"/>
      <c r="B37" s="95"/>
      <c r="C37" s="95"/>
      <c r="D37" s="95"/>
      <c r="E37" s="96"/>
      <c r="F37" s="99"/>
      <c r="G37" s="203" t="s">
        <v>35</v>
      </c>
      <c r="H37" s="204"/>
      <c r="I37" s="204"/>
      <c r="J37" s="204"/>
      <c r="K37" s="204"/>
      <c r="L37" s="204"/>
      <c r="M37" s="204"/>
      <c r="N37" s="204"/>
      <c r="O37" s="205"/>
      <c r="P37" s="28"/>
      <c r="Q37" s="91"/>
      <c r="R37" s="92"/>
      <c r="S37" s="100"/>
      <c r="T37" s="191" t="s">
        <v>36</v>
      </c>
      <c r="U37" s="192"/>
      <c r="V37" s="192"/>
      <c r="W37" s="192"/>
      <c r="X37" s="193"/>
      <c r="Y37" s="28"/>
      <c r="Z37" s="28"/>
      <c r="AA37" s="28"/>
      <c r="AB37" s="28"/>
      <c r="AC37" s="28"/>
      <c r="AD37" s="28"/>
      <c r="AE37" s="28"/>
      <c r="AF37" s="28"/>
    </row>
    <row r="38" spans="1:34" ht="16.5" thickBot="1" x14ac:dyDescent="0.3">
      <c r="A38" s="101"/>
      <c r="B38" s="102"/>
      <c r="C38" s="102"/>
      <c r="D38" s="102"/>
      <c r="E38" s="103"/>
      <c r="F38" s="104"/>
      <c r="G38" s="207" t="s">
        <v>37</v>
      </c>
      <c r="H38" s="208"/>
      <c r="I38" s="208"/>
      <c r="J38" s="208"/>
      <c r="K38" s="208"/>
      <c r="L38" s="208"/>
      <c r="M38" s="208"/>
      <c r="N38" s="208"/>
      <c r="O38" s="209"/>
      <c r="P38" s="28"/>
      <c r="Q38" s="105"/>
      <c r="R38" s="106"/>
      <c r="S38" s="107"/>
      <c r="T38" s="195" t="s">
        <v>37</v>
      </c>
      <c r="U38" s="196"/>
      <c r="V38" s="196"/>
      <c r="W38" s="196"/>
      <c r="X38" s="197"/>
      <c r="Y38" s="28"/>
      <c r="Z38" s="28"/>
      <c r="AA38" s="28"/>
      <c r="AB38" s="28"/>
      <c r="AC38" s="28"/>
      <c r="AD38" s="28"/>
      <c r="AE38" s="28"/>
      <c r="AF38" s="28"/>
      <c r="AG38" s="28"/>
      <c r="AH38" s="28"/>
    </row>
    <row r="39" spans="1:34" ht="15.75" thickTop="1" x14ac:dyDescent="0.2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</row>
    <row r="40" spans="1:34" x14ac:dyDescent="0.2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U40" s="28"/>
      <c r="V40" s="28"/>
      <c r="W40" s="28"/>
      <c r="X40" s="28"/>
      <c r="Y40" s="28"/>
      <c r="AD40" s="28"/>
      <c r="AE40" s="28"/>
      <c r="AF40" s="28"/>
      <c r="AG40" s="28"/>
      <c r="AH40" s="28"/>
    </row>
  </sheetData>
  <mergeCells count="19">
    <mergeCell ref="E5:E6"/>
    <mergeCell ref="F5:F6"/>
    <mergeCell ref="T36:X36"/>
    <mergeCell ref="A1:X2"/>
    <mergeCell ref="T37:X37"/>
    <mergeCell ref="A3:G4"/>
    <mergeCell ref="T38:X38"/>
    <mergeCell ref="G5:H5"/>
    <mergeCell ref="I5:I6"/>
    <mergeCell ref="D17:H17"/>
    <mergeCell ref="G37:O37"/>
    <mergeCell ref="A19:F20"/>
    <mergeCell ref="G38:O38"/>
    <mergeCell ref="G36:O36"/>
    <mergeCell ref="A21:O22"/>
    <mergeCell ref="Q21:X22"/>
    <mergeCell ref="B5:C5"/>
    <mergeCell ref="A5:A6"/>
    <mergeCell ref="D5:D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9"/>
  <sheetViews>
    <sheetView showGridLines="0" zoomScale="70" zoomScaleNormal="70" workbookViewId="0">
      <selection activeCell="I17" sqref="I17"/>
    </sheetView>
  </sheetViews>
  <sheetFormatPr defaultRowHeight="15" x14ac:dyDescent="0.25"/>
  <cols>
    <col min="1" max="1" width="17.28515625" customWidth="1"/>
    <col min="2" max="5" width="8.7109375" customWidth="1"/>
    <col min="6" max="6" width="11.42578125" customWidth="1"/>
    <col min="7" max="17" width="8.7109375" customWidth="1"/>
    <col min="18" max="18" width="16.85546875" customWidth="1"/>
    <col min="19" max="26" width="15.85546875" customWidth="1"/>
    <col min="28" max="28" width="15" customWidth="1"/>
    <col min="29" max="29" width="17" customWidth="1"/>
    <col min="30" max="30" width="17.28515625" customWidth="1"/>
    <col min="31" max="31" width="17.42578125" customWidth="1"/>
    <col min="32" max="32" width="18" customWidth="1"/>
    <col min="33" max="33" width="15.5703125" style="188" customWidth="1"/>
    <col min="34" max="34" width="16.85546875" customWidth="1"/>
    <col min="35" max="35" width="19.7109375" customWidth="1"/>
    <col min="36" max="36" width="12.5703125" customWidth="1"/>
  </cols>
  <sheetData>
    <row r="1" spans="1:37" x14ac:dyDescent="0.25">
      <c r="A1" s="190" t="s">
        <v>41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28"/>
      <c r="Z1" s="28"/>
      <c r="AA1" s="28"/>
      <c r="AB1" s="28"/>
      <c r="AC1" s="28"/>
      <c r="AD1" s="28"/>
      <c r="AE1" s="28"/>
      <c r="AF1" s="28"/>
      <c r="AG1" s="186"/>
      <c r="AH1" s="28"/>
      <c r="AI1" s="28"/>
      <c r="AJ1" s="28"/>
      <c r="AK1" s="28"/>
    </row>
    <row r="2" spans="1:37" x14ac:dyDescent="0.25">
      <c r="A2" s="190"/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28"/>
      <c r="Z2" s="28"/>
      <c r="AA2" s="28"/>
      <c r="AB2" s="28"/>
      <c r="AC2" s="28"/>
      <c r="AD2" s="28"/>
      <c r="AE2" s="28"/>
      <c r="AF2" s="28"/>
      <c r="AG2" s="186"/>
      <c r="AH2" s="28"/>
      <c r="AI2" s="28"/>
      <c r="AJ2" s="28"/>
      <c r="AK2" s="28"/>
    </row>
    <row r="3" spans="1:37" x14ac:dyDescent="0.25">
      <c r="A3" s="194" t="s">
        <v>42</v>
      </c>
      <c r="B3" s="194"/>
      <c r="C3" s="194"/>
      <c r="D3" s="194"/>
      <c r="E3" s="194"/>
      <c r="F3" s="194"/>
      <c r="G3" s="194"/>
      <c r="H3" s="194"/>
      <c r="I3" s="194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186"/>
      <c r="AH3" s="28"/>
      <c r="AI3" s="28"/>
      <c r="AJ3" s="28"/>
      <c r="AK3" s="28"/>
    </row>
    <row r="4" spans="1:37" ht="15.75" thickBot="1" x14ac:dyDescent="0.3">
      <c r="A4" s="194"/>
      <c r="B4" s="194"/>
      <c r="C4" s="194"/>
      <c r="D4" s="194"/>
      <c r="E4" s="194"/>
      <c r="F4" s="194"/>
      <c r="G4" s="194"/>
      <c r="H4" s="194"/>
      <c r="I4" s="194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186"/>
      <c r="AH4" s="28"/>
      <c r="AI4" s="28"/>
      <c r="AJ4" s="28"/>
      <c r="AK4" s="28"/>
    </row>
    <row r="5" spans="1:37" x14ac:dyDescent="0.25">
      <c r="A5" s="224" t="s">
        <v>0</v>
      </c>
      <c r="B5" s="226" t="s">
        <v>6</v>
      </c>
      <c r="C5" s="226"/>
      <c r="D5" s="227" t="s">
        <v>11</v>
      </c>
      <c r="E5" s="229" t="s">
        <v>12</v>
      </c>
      <c r="F5" s="231" t="s">
        <v>13</v>
      </c>
      <c r="G5" s="223" t="s">
        <v>7</v>
      </c>
      <c r="H5" s="199"/>
      <c r="I5" s="200" t="s">
        <v>8</v>
      </c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186"/>
      <c r="AH5" s="28"/>
      <c r="AI5" s="28"/>
      <c r="AJ5" s="28"/>
      <c r="AK5" s="28"/>
    </row>
    <row r="6" spans="1:37" ht="15.75" thickBot="1" x14ac:dyDescent="0.3">
      <c r="A6" s="225"/>
      <c r="B6" s="177" t="s">
        <v>9</v>
      </c>
      <c r="C6" s="177" t="s">
        <v>10</v>
      </c>
      <c r="D6" s="228"/>
      <c r="E6" s="230"/>
      <c r="F6" s="232"/>
      <c r="G6" s="178" t="s">
        <v>0</v>
      </c>
      <c r="H6" s="179" t="s">
        <v>14</v>
      </c>
      <c r="I6" s="201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186"/>
      <c r="AH6" s="28"/>
      <c r="AI6" s="28"/>
      <c r="AJ6" s="28"/>
      <c r="AK6" s="28"/>
    </row>
    <row r="7" spans="1:37" ht="18.75" customHeight="1" x14ac:dyDescent="0.25">
      <c r="A7" s="167">
        <v>2010</v>
      </c>
      <c r="B7" s="166">
        <f>B25</f>
        <v>345</v>
      </c>
      <c r="C7" s="166"/>
      <c r="D7" s="166">
        <f t="shared" ref="D7:D15" si="0">SUM(B7:C7)</f>
        <v>345</v>
      </c>
      <c r="E7" s="166">
        <f>B7</f>
        <v>345</v>
      </c>
      <c r="F7" s="172">
        <f>E7-G25</f>
        <v>-89</v>
      </c>
      <c r="G7" s="141">
        <v>2015</v>
      </c>
      <c r="H7" s="146">
        <f t="shared" ref="H7:H16" si="1">F7</f>
        <v>-89</v>
      </c>
      <c r="I7" s="147">
        <v>4.79</v>
      </c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186"/>
      <c r="AH7" s="28"/>
      <c r="AI7" s="28"/>
      <c r="AJ7" s="28"/>
      <c r="AK7" s="28"/>
    </row>
    <row r="8" spans="1:37" ht="18.75" customHeight="1" x14ac:dyDescent="0.25">
      <c r="A8" s="167">
        <v>2011</v>
      </c>
      <c r="B8" s="166">
        <f>C26</f>
        <v>942</v>
      </c>
      <c r="C8" s="166"/>
      <c r="D8" s="166">
        <f t="shared" si="0"/>
        <v>942</v>
      </c>
      <c r="E8" s="168">
        <f>E7+D8</f>
        <v>1287</v>
      </c>
      <c r="F8" s="173">
        <f>E8-(SUM(G25,H26))</f>
        <v>142</v>
      </c>
      <c r="G8" s="134">
        <v>2016</v>
      </c>
      <c r="H8" s="135">
        <f t="shared" si="1"/>
        <v>142</v>
      </c>
      <c r="I8" s="136">
        <v>5.12</v>
      </c>
      <c r="J8" s="28"/>
      <c r="K8" s="28"/>
      <c r="L8" s="28"/>
      <c r="M8" s="32"/>
      <c r="N8" s="32"/>
      <c r="O8" s="32"/>
      <c r="P8" s="32"/>
      <c r="Q8" s="32"/>
      <c r="R8" s="32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186"/>
      <c r="AH8" s="28"/>
      <c r="AI8" s="28"/>
      <c r="AJ8" s="28"/>
      <c r="AK8" s="28"/>
    </row>
    <row r="9" spans="1:37" ht="18.75" customHeight="1" x14ac:dyDescent="0.25">
      <c r="A9" s="167">
        <v>2012</v>
      </c>
      <c r="B9" s="166">
        <f>D27</f>
        <v>866</v>
      </c>
      <c r="C9" s="166"/>
      <c r="D9" s="166">
        <f t="shared" si="0"/>
        <v>866</v>
      </c>
      <c r="E9" s="168">
        <f>E8+D9</f>
        <v>2153</v>
      </c>
      <c r="F9" s="173">
        <f>E9-(SUM(G25,H26,I27))</f>
        <v>695.00000999999997</v>
      </c>
      <c r="G9" s="134">
        <v>2017</v>
      </c>
      <c r="H9" s="135">
        <f t="shared" si="1"/>
        <v>695.00000999999997</v>
      </c>
      <c r="I9" s="137">
        <f>(F9/I34)+5</f>
        <v>5.4593592698368845</v>
      </c>
      <c r="J9" s="28"/>
      <c r="K9" s="28"/>
      <c r="L9" s="28"/>
      <c r="M9" s="32"/>
      <c r="N9" s="32"/>
      <c r="O9" s="32"/>
      <c r="P9" s="32"/>
      <c r="Q9" s="32"/>
      <c r="R9" s="32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186"/>
      <c r="AH9" s="28"/>
      <c r="AI9" s="28"/>
      <c r="AJ9" s="28"/>
      <c r="AK9" s="28"/>
    </row>
    <row r="10" spans="1:37" ht="18.75" customHeight="1" thickBot="1" x14ac:dyDescent="0.3">
      <c r="A10" s="167">
        <v>2013</v>
      </c>
      <c r="B10" s="166">
        <f>E28</f>
        <v>831</v>
      </c>
      <c r="C10" s="166"/>
      <c r="D10" s="166">
        <f t="shared" si="0"/>
        <v>831</v>
      </c>
      <c r="E10" s="168">
        <f>E9+D10</f>
        <v>2984</v>
      </c>
      <c r="F10" s="173">
        <f>E10-(SUM(G25,H26,I27,J28))</f>
        <v>331.53851000000031</v>
      </c>
      <c r="G10" s="138">
        <v>2018</v>
      </c>
      <c r="H10" s="139">
        <f t="shared" si="1"/>
        <v>331.53851000000031</v>
      </c>
      <c r="I10" s="140">
        <f>(F10/J34)+5</f>
        <v>5.2091276749305919</v>
      </c>
      <c r="J10" s="28"/>
      <c r="K10" s="28"/>
      <c r="L10" s="28"/>
      <c r="M10" s="32"/>
      <c r="N10" s="32"/>
      <c r="O10" s="32"/>
      <c r="P10" s="32"/>
      <c r="Q10" s="32"/>
      <c r="R10" s="32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186"/>
      <c r="AH10" s="28"/>
      <c r="AI10" s="28"/>
      <c r="AJ10" s="28"/>
      <c r="AK10" s="28"/>
    </row>
    <row r="11" spans="1:37" ht="18.75" customHeight="1" x14ac:dyDescent="0.25">
      <c r="A11" s="167">
        <v>2014</v>
      </c>
      <c r="B11" s="168">
        <f>F29</f>
        <v>1155</v>
      </c>
      <c r="C11" s="166"/>
      <c r="D11" s="166">
        <f t="shared" si="0"/>
        <v>1155</v>
      </c>
      <c r="E11" s="168">
        <f>E10+D11</f>
        <v>4139</v>
      </c>
      <c r="F11" s="173">
        <f>E11-(SUM(G25,H26,I27,J28,K25))</f>
        <v>133.58862000000045</v>
      </c>
      <c r="G11" s="141">
        <v>2019</v>
      </c>
      <c r="H11" s="142">
        <f t="shared" si="1"/>
        <v>133.58862000000045</v>
      </c>
      <c r="I11" s="143">
        <f>(F11/K25)+5</f>
        <v>5.0987387788619429</v>
      </c>
      <c r="J11" s="28"/>
      <c r="K11" s="28"/>
      <c r="L11" s="28"/>
      <c r="M11" s="32"/>
      <c r="N11" s="32"/>
      <c r="O11" s="32"/>
      <c r="P11" s="32"/>
      <c r="Q11" s="32"/>
      <c r="R11" s="32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186"/>
      <c r="AH11" s="28"/>
      <c r="AI11" s="28"/>
      <c r="AJ11" s="28"/>
      <c r="AK11" s="28"/>
    </row>
    <row r="12" spans="1:37" ht="18.75" customHeight="1" x14ac:dyDescent="0.25">
      <c r="A12" s="167">
        <v>2015</v>
      </c>
      <c r="B12" s="168">
        <f>G30</f>
        <v>1402</v>
      </c>
      <c r="C12" s="166">
        <f>G25</f>
        <v>434</v>
      </c>
      <c r="D12" s="166">
        <f t="shared" si="0"/>
        <v>1836</v>
      </c>
      <c r="E12" s="168">
        <f>E11+B12</f>
        <v>5541</v>
      </c>
      <c r="F12" s="173">
        <f>E12+C12-(SUM(G25,H26,I27,J28,K25,L26))</f>
        <v>617.57872000000043</v>
      </c>
      <c r="G12" s="134">
        <v>2020</v>
      </c>
      <c r="H12" s="144">
        <f t="shared" si="1"/>
        <v>617.57872000000043</v>
      </c>
      <c r="I12" s="137">
        <f>(F12/L34)+5</f>
        <v>5.4567856492766813</v>
      </c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186"/>
      <c r="AH12" s="28"/>
      <c r="AI12" s="28"/>
      <c r="AJ12" s="28"/>
      <c r="AK12" s="28"/>
    </row>
    <row r="13" spans="1:37" ht="18.75" customHeight="1" x14ac:dyDescent="0.25">
      <c r="A13" s="167">
        <v>2016</v>
      </c>
      <c r="B13" s="168">
        <f>H31</f>
        <v>1093.8301899999999</v>
      </c>
      <c r="C13" s="166">
        <f>H26</f>
        <v>711</v>
      </c>
      <c r="D13" s="166">
        <f t="shared" si="0"/>
        <v>1804.8301899999999</v>
      </c>
      <c r="E13" s="168">
        <f>E12+B13</f>
        <v>6634.8301899999997</v>
      </c>
      <c r="F13" s="173">
        <f>E13+C12+C13-(SUM(G25,H26,I27,J28,K25,L26,M27))</f>
        <v>1070.3990800000001</v>
      </c>
      <c r="G13" s="134">
        <v>2021</v>
      </c>
      <c r="H13" s="144">
        <f t="shared" si="1"/>
        <v>1070.3990800000001</v>
      </c>
      <c r="I13" s="137">
        <f>(F13/M34)+5</f>
        <v>5.7917095395674751</v>
      </c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186"/>
      <c r="AH13" s="28"/>
      <c r="AI13" s="28"/>
      <c r="AJ13" s="28"/>
      <c r="AK13" s="28"/>
    </row>
    <row r="14" spans="1:37" ht="18.75" customHeight="1" x14ac:dyDescent="0.25">
      <c r="A14" s="167">
        <v>2017</v>
      </c>
      <c r="B14" s="168">
        <f>I32</f>
        <v>1333.9999499999999</v>
      </c>
      <c r="C14" s="169">
        <f>I27</f>
        <v>312.99999000000003</v>
      </c>
      <c r="D14" s="168">
        <f t="shared" si="0"/>
        <v>1646.9999399999999</v>
      </c>
      <c r="E14" s="168">
        <f>E13+B14</f>
        <v>7968.83014</v>
      </c>
      <c r="F14" s="173">
        <f>E14+C12+C13+C14-(SUM(G25,H26,I27,J28,K25,L26,M27,N28))</f>
        <v>1365.3892800000012</v>
      </c>
      <c r="G14" s="134">
        <v>2022</v>
      </c>
      <c r="H14" s="144">
        <f t="shared" si="1"/>
        <v>1365.3892800000012</v>
      </c>
      <c r="I14" s="137">
        <f>(F14/N34)+5</f>
        <v>6.0098960381749924</v>
      </c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186"/>
      <c r="AH14" s="28"/>
      <c r="AI14" s="28"/>
      <c r="AJ14" s="28"/>
      <c r="AK14" s="28"/>
    </row>
    <row r="15" spans="1:37" ht="18.75" customHeight="1" x14ac:dyDescent="0.25">
      <c r="A15" s="167">
        <v>2018</v>
      </c>
      <c r="B15" s="166">
        <f>J33</f>
        <v>144</v>
      </c>
      <c r="C15" s="169">
        <f>J28</f>
        <v>1194.4614999999999</v>
      </c>
      <c r="D15" s="168">
        <f t="shared" si="0"/>
        <v>1338.4614999999999</v>
      </c>
      <c r="E15" s="168">
        <f>E14+B15</f>
        <v>8112.83014</v>
      </c>
      <c r="F15" s="173">
        <f>E15+C12+C13+C14+C15-(SUM(G25,H26,I27,J28,K25,L26,M27,N28,O29))</f>
        <v>1351.841131000001</v>
      </c>
      <c r="G15" s="134">
        <v>2023</v>
      </c>
      <c r="H15" s="144">
        <f t="shared" si="1"/>
        <v>1351.841131000001</v>
      </c>
      <c r="I15" s="137">
        <f>(F15/O34)+5</f>
        <v>5.9998753573984303</v>
      </c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186"/>
      <c r="AH15" s="28"/>
      <c r="AI15" s="28"/>
      <c r="AJ15" s="28"/>
      <c r="AK15" s="28"/>
    </row>
    <row r="16" spans="1:37" ht="18.75" customHeight="1" thickBot="1" x14ac:dyDescent="0.3">
      <c r="A16" s="170">
        <v>2019</v>
      </c>
      <c r="B16" s="171"/>
      <c r="C16" s="171">
        <v>1353</v>
      </c>
      <c r="D16" s="171">
        <f>C16</f>
        <v>1353</v>
      </c>
      <c r="E16" s="171"/>
      <c r="F16" s="165">
        <f>D16</f>
        <v>1353</v>
      </c>
      <c r="G16" s="138">
        <v>2024</v>
      </c>
      <c r="H16" s="148">
        <f t="shared" si="1"/>
        <v>1353</v>
      </c>
      <c r="I16" s="149">
        <f>(F16/O34)+5</f>
        <v>6.0007325029083427</v>
      </c>
      <c r="J16" s="28"/>
      <c r="K16" s="109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186"/>
      <c r="AH16" s="28"/>
      <c r="AI16" s="28"/>
      <c r="AJ16" s="28"/>
      <c r="AK16" s="28"/>
    </row>
    <row r="17" spans="1:37" ht="15.75" thickBot="1" x14ac:dyDescent="0.3">
      <c r="A17" s="174" t="s">
        <v>15</v>
      </c>
      <c r="B17" s="175">
        <f>SUM(B7:B15)</f>
        <v>8112.83014</v>
      </c>
      <c r="C17" s="176">
        <f>SUM(C7:C15)</f>
        <v>2652.4614899999997</v>
      </c>
      <c r="D17" s="202" t="s">
        <v>43</v>
      </c>
      <c r="E17" s="202"/>
      <c r="F17" s="202"/>
      <c r="G17" s="202"/>
      <c r="H17" s="202"/>
      <c r="I17" s="145">
        <f>AVERAGE(I10:I16)</f>
        <v>5.6524093630169219</v>
      </c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186"/>
      <c r="AH17" s="28"/>
      <c r="AI17" s="28"/>
      <c r="AJ17" s="28"/>
      <c r="AK17" s="28"/>
    </row>
    <row r="18" spans="1:37" ht="18.75" x14ac:dyDescent="0.3">
      <c r="A18" s="28"/>
      <c r="B18" s="28"/>
      <c r="C18" s="28"/>
      <c r="D18" s="28"/>
      <c r="E18" s="28"/>
      <c r="F18" s="28"/>
      <c r="G18" s="33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186"/>
      <c r="AH18" s="28"/>
      <c r="AI18" s="28"/>
      <c r="AJ18" s="28"/>
      <c r="AK18" s="28"/>
    </row>
    <row r="19" spans="1:37" ht="18.75" customHeight="1" x14ac:dyDescent="0.25">
      <c r="A19" s="194" t="s">
        <v>48</v>
      </c>
      <c r="B19" s="194"/>
      <c r="C19" s="194"/>
      <c r="D19" s="194"/>
      <c r="E19" s="194"/>
      <c r="F19" s="194"/>
      <c r="G19" s="194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186"/>
      <c r="AH19" s="28"/>
      <c r="AI19" s="28"/>
      <c r="AJ19" s="28"/>
      <c r="AK19" s="28"/>
    </row>
    <row r="20" spans="1:37" ht="15.75" thickBot="1" x14ac:dyDescent="0.3">
      <c r="A20" s="206"/>
      <c r="B20" s="206"/>
      <c r="C20" s="206"/>
      <c r="D20" s="206"/>
      <c r="E20" s="206"/>
      <c r="F20" s="206"/>
      <c r="G20" s="206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186"/>
      <c r="AH20" s="28"/>
      <c r="AI20" s="28"/>
      <c r="AJ20" s="28"/>
      <c r="AK20" s="28"/>
    </row>
    <row r="21" spans="1:37" ht="15.75" thickTop="1" x14ac:dyDescent="0.25">
      <c r="A21" s="210" t="s">
        <v>44</v>
      </c>
      <c r="B21" s="211"/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2"/>
      <c r="Q21" s="28"/>
      <c r="R21" s="210" t="s">
        <v>50</v>
      </c>
      <c r="S21" s="211"/>
      <c r="T21" s="211"/>
      <c r="U21" s="211"/>
      <c r="V21" s="211"/>
      <c r="W21" s="211"/>
      <c r="X21" s="211"/>
      <c r="Y21" s="211"/>
      <c r="Z21" s="212"/>
      <c r="AA21" s="28"/>
      <c r="AB21" s="28"/>
      <c r="AC21" s="28"/>
      <c r="AD21" s="28"/>
      <c r="AE21" s="28"/>
      <c r="AF21" s="28"/>
      <c r="AG21" s="186"/>
      <c r="AH21" s="28"/>
      <c r="AI21" s="28"/>
      <c r="AJ21" s="28"/>
      <c r="AK21" s="28"/>
    </row>
    <row r="22" spans="1:37" ht="15.75" thickBot="1" x14ac:dyDescent="0.3">
      <c r="A22" s="213"/>
      <c r="B22" s="214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5"/>
      <c r="Q22" s="28"/>
      <c r="R22" s="213"/>
      <c r="S22" s="214"/>
      <c r="T22" s="214"/>
      <c r="U22" s="214"/>
      <c r="V22" s="214"/>
      <c r="W22" s="214"/>
      <c r="X22" s="214"/>
      <c r="Y22" s="214"/>
      <c r="Z22" s="215"/>
      <c r="AA22" s="28"/>
      <c r="AB22" s="28"/>
      <c r="AC22" s="28"/>
      <c r="AD22" s="28"/>
      <c r="AE22" s="28"/>
      <c r="AF22" s="28"/>
      <c r="AG22" s="186"/>
      <c r="AH22" s="28"/>
      <c r="AI22" s="28"/>
      <c r="AJ22" s="28"/>
      <c r="AK22" s="28"/>
    </row>
    <row r="23" spans="1:37" ht="15.75" x14ac:dyDescent="0.25">
      <c r="A23" s="34"/>
      <c r="B23" s="35">
        <v>2010</v>
      </c>
      <c r="C23" s="35">
        <v>2011</v>
      </c>
      <c r="D23" s="35">
        <v>2012</v>
      </c>
      <c r="E23" s="35">
        <v>2013</v>
      </c>
      <c r="F23" s="35">
        <v>2014</v>
      </c>
      <c r="G23" s="35">
        <v>2015</v>
      </c>
      <c r="H23" s="35">
        <v>2016</v>
      </c>
      <c r="I23" s="35">
        <v>2017</v>
      </c>
      <c r="J23" s="35">
        <v>2018</v>
      </c>
      <c r="K23" s="35">
        <v>2019</v>
      </c>
      <c r="L23" s="35">
        <v>2020</v>
      </c>
      <c r="M23" s="35">
        <v>2021</v>
      </c>
      <c r="N23" s="36">
        <v>2022</v>
      </c>
      <c r="O23" s="36">
        <v>2023</v>
      </c>
      <c r="P23" s="37">
        <v>2024</v>
      </c>
      <c r="Q23" s="28"/>
      <c r="R23" s="110"/>
      <c r="S23" s="111">
        <v>2017</v>
      </c>
      <c r="T23" s="111">
        <v>2018</v>
      </c>
      <c r="U23" s="111">
        <v>2019</v>
      </c>
      <c r="V23" s="111">
        <v>2020</v>
      </c>
      <c r="W23" s="111">
        <v>2021</v>
      </c>
      <c r="X23" s="112">
        <v>2022</v>
      </c>
      <c r="Y23" s="112">
        <v>2023</v>
      </c>
      <c r="Z23" s="113">
        <v>2024</v>
      </c>
      <c r="AA23" s="28"/>
      <c r="AB23" s="28"/>
      <c r="AC23" s="43">
        <v>2016</v>
      </c>
      <c r="AD23" s="43" t="s">
        <v>17</v>
      </c>
      <c r="AE23" s="43"/>
      <c r="AF23" s="44" t="s">
        <v>18</v>
      </c>
      <c r="AG23" s="186"/>
      <c r="AH23" s="28"/>
      <c r="AI23" s="28"/>
      <c r="AJ23" s="28"/>
      <c r="AK23" s="28"/>
    </row>
    <row r="24" spans="1:37" ht="15.75" x14ac:dyDescent="0.25">
      <c r="A24" s="45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5"/>
      <c r="Q24" s="28"/>
      <c r="R24" s="116"/>
      <c r="S24" s="117"/>
      <c r="T24" s="117"/>
      <c r="U24" s="117"/>
      <c r="V24" s="117"/>
      <c r="W24" s="117"/>
      <c r="X24" s="117"/>
      <c r="Y24" s="117"/>
      <c r="Z24" s="118"/>
      <c r="AA24" s="28"/>
      <c r="AB24" s="76" t="s">
        <v>19</v>
      </c>
      <c r="AC24" s="53">
        <v>17089329.960000001</v>
      </c>
      <c r="AD24" s="53">
        <f>403475.95</f>
        <v>403475.95</v>
      </c>
      <c r="AE24" s="53"/>
      <c r="AF24" s="53">
        <f>SUM(AC24:AE24)/H31</f>
        <v>15992.250049342671</v>
      </c>
      <c r="AG24" s="186"/>
      <c r="AH24" s="28"/>
      <c r="AI24" s="28"/>
      <c r="AJ24" s="28"/>
      <c r="AK24" s="28"/>
    </row>
    <row r="25" spans="1:37" ht="15.75" x14ac:dyDescent="0.25">
      <c r="A25" s="54" t="s">
        <v>20</v>
      </c>
      <c r="B25" s="55">
        <v>345</v>
      </c>
      <c r="C25" s="50"/>
      <c r="D25" s="56"/>
      <c r="E25" s="50"/>
      <c r="F25" s="50"/>
      <c r="G25" s="57">
        <v>434</v>
      </c>
      <c r="H25" s="58"/>
      <c r="I25" s="58"/>
      <c r="J25" s="50"/>
      <c r="K25" s="59">
        <v>1352.9498900000001</v>
      </c>
      <c r="L25" s="50"/>
      <c r="M25" s="60"/>
      <c r="N25" s="60"/>
      <c r="O25" s="60"/>
      <c r="P25" s="119"/>
      <c r="Q25" s="28"/>
      <c r="R25" s="61" t="s">
        <v>20</v>
      </c>
      <c r="S25" s="58"/>
      <c r="T25" s="63"/>
      <c r="U25" s="62">
        <f>(K25*AE31)</f>
        <v>19612726.71892038</v>
      </c>
      <c r="V25" s="68"/>
      <c r="W25" s="68"/>
      <c r="X25" s="68"/>
      <c r="Y25" s="68"/>
      <c r="Z25" s="120"/>
      <c r="AA25" s="28"/>
      <c r="AB25" s="76" t="s">
        <v>21</v>
      </c>
      <c r="AC25" s="53">
        <v>9979139.2799999993</v>
      </c>
      <c r="AD25" s="53">
        <f>302600.29</f>
        <v>302600.28999999998</v>
      </c>
      <c r="AE25" s="53"/>
      <c r="AF25" s="53">
        <f>SUM(AC25:AE25)/H26</f>
        <v>14460.955794655412</v>
      </c>
      <c r="AG25" s="186"/>
      <c r="AH25" s="28"/>
      <c r="AI25" s="28"/>
      <c r="AJ25" s="28"/>
      <c r="AK25" s="28"/>
    </row>
    <row r="26" spans="1:37" ht="15.75" x14ac:dyDescent="0.25">
      <c r="A26" s="54" t="s">
        <v>22</v>
      </c>
      <c r="B26" s="50"/>
      <c r="C26" s="55">
        <v>942</v>
      </c>
      <c r="D26" s="50"/>
      <c r="E26" s="50"/>
      <c r="F26" s="50"/>
      <c r="G26" s="50"/>
      <c r="H26" s="57">
        <v>711</v>
      </c>
      <c r="I26" s="50"/>
      <c r="J26" s="50"/>
      <c r="K26" s="121"/>
      <c r="L26" s="59">
        <v>1352.0099</v>
      </c>
      <c r="M26" s="50"/>
      <c r="N26" s="64"/>
      <c r="O26" s="64"/>
      <c r="P26" s="122"/>
      <c r="Q26" s="28"/>
      <c r="R26" s="61" t="s">
        <v>22</v>
      </c>
      <c r="S26" s="50"/>
      <c r="T26" s="68"/>
      <c r="U26" s="123"/>
      <c r="V26" s="62">
        <f>(L26*AE32)</f>
        <v>19783616.086884174</v>
      </c>
      <c r="W26" s="68"/>
      <c r="X26" s="68"/>
      <c r="Y26" s="68"/>
      <c r="Z26" s="120"/>
      <c r="AA26" s="28"/>
      <c r="AB26" s="76" t="s">
        <v>23</v>
      </c>
      <c r="AC26" s="53">
        <v>8009850.0199999996</v>
      </c>
      <c r="AD26" s="53">
        <f>AD25</f>
        <v>302600.28999999998</v>
      </c>
      <c r="AE26" s="53"/>
      <c r="AF26" s="53">
        <f>SUM(AC26:AE26)/H26</f>
        <v>11691.21</v>
      </c>
      <c r="AG26" s="186"/>
      <c r="AH26" s="28"/>
      <c r="AI26" s="28"/>
      <c r="AJ26" s="28"/>
      <c r="AK26" s="28"/>
    </row>
    <row r="27" spans="1:37" ht="15.75" x14ac:dyDescent="0.25">
      <c r="A27" s="54" t="s">
        <v>24</v>
      </c>
      <c r="B27" s="50"/>
      <c r="C27" s="50"/>
      <c r="D27" s="55">
        <v>866</v>
      </c>
      <c r="E27" s="50"/>
      <c r="F27" s="50"/>
      <c r="G27" s="50"/>
      <c r="H27" s="50"/>
      <c r="I27" s="66">
        <v>312.99999000000003</v>
      </c>
      <c r="J27" s="50"/>
      <c r="K27" s="50"/>
      <c r="L27" s="121"/>
      <c r="M27" s="59">
        <v>1352.00983</v>
      </c>
      <c r="N27" s="50"/>
      <c r="O27" s="50"/>
      <c r="P27" s="52"/>
      <c r="Q27" s="28"/>
      <c r="R27" s="61" t="s">
        <v>24</v>
      </c>
      <c r="S27" s="67">
        <f>(12795.52716*I27)</f>
        <v>4004999.8731247284</v>
      </c>
      <c r="T27" s="63"/>
      <c r="U27" s="68"/>
      <c r="V27" s="123"/>
      <c r="W27" s="62">
        <f>(M27*AE33)</f>
        <v>19969975.926783931</v>
      </c>
      <c r="X27" s="68"/>
      <c r="Y27" s="68"/>
      <c r="Z27" s="120"/>
      <c r="AA27" s="28"/>
      <c r="AB27" s="28"/>
      <c r="AC27" s="53"/>
      <c r="AD27" s="53"/>
      <c r="AE27" s="53"/>
      <c r="AF27" s="53"/>
      <c r="AG27" s="186"/>
      <c r="AH27" s="28"/>
      <c r="AI27" s="28"/>
      <c r="AJ27" s="28"/>
      <c r="AK27" s="28"/>
    </row>
    <row r="28" spans="1:37" ht="15.75" x14ac:dyDescent="0.25">
      <c r="A28" s="54" t="s">
        <v>25</v>
      </c>
      <c r="B28" s="50"/>
      <c r="C28" s="50"/>
      <c r="D28" s="50"/>
      <c r="E28" s="55">
        <v>831</v>
      </c>
      <c r="F28" s="50"/>
      <c r="G28" s="50"/>
      <c r="H28" s="50"/>
      <c r="I28" s="50"/>
      <c r="J28" s="66">
        <v>1194.4614999999999</v>
      </c>
      <c r="K28" s="50"/>
      <c r="L28" s="50"/>
      <c r="M28" s="121"/>
      <c r="N28" s="59">
        <v>1352.00974</v>
      </c>
      <c r="O28" s="50"/>
      <c r="P28" s="52"/>
      <c r="Q28" s="28"/>
      <c r="R28" s="61" t="s">
        <v>25</v>
      </c>
      <c r="S28" s="63"/>
      <c r="T28" s="124">
        <f>(J28*AE30)</f>
        <v>17153835.970328189</v>
      </c>
      <c r="U28" s="68"/>
      <c r="V28" s="68"/>
      <c r="W28" s="123"/>
      <c r="X28" s="62">
        <f>(N28*AE34)</f>
        <v>20158199.057735477</v>
      </c>
      <c r="Y28" s="63"/>
      <c r="Z28" s="120"/>
      <c r="AA28" s="28"/>
      <c r="AB28" s="28"/>
      <c r="AC28" s="28"/>
      <c r="AD28" s="28"/>
      <c r="AE28" s="28"/>
      <c r="AF28" s="28"/>
      <c r="AG28" s="186"/>
      <c r="AH28" s="28"/>
      <c r="AI28" s="28"/>
      <c r="AJ28" s="28"/>
      <c r="AK28" s="28"/>
    </row>
    <row r="29" spans="1:37" ht="15.75" x14ac:dyDescent="0.25">
      <c r="A29" s="54" t="s">
        <v>26</v>
      </c>
      <c r="B29" s="50"/>
      <c r="C29" s="50"/>
      <c r="D29" s="50"/>
      <c r="E29" s="50"/>
      <c r="F29" s="55">
        <v>1155</v>
      </c>
      <c r="G29" s="50"/>
      <c r="H29" s="50"/>
      <c r="I29" s="50"/>
      <c r="J29" s="50"/>
      <c r="K29" s="71"/>
      <c r="L29" s="50"/>
      <c r="M29" s="50"/>
      <c r="N29" s="121"/>
      <c r="O29" s="59">
        <v>1352.0096490000001</v>
      </c>
      <c r="P29" s="52"/>
      <c r="Q29" s="28"/>
      <c r="R29" s="61" t="s">
        <v>26</v>
      </c>
      <c r="S29" s="63"/>
      <c r="T29" s="63"/>
      <c r="U29" s="68"/>
      <c r="V29" s="68"/>
      <c r="W29" s="68"/>
      <c r="X29" s="123"/>
      <c r="Y29" s="62">
        <f>(O29*AE35)</f>
        <v>20348304.393055063</v>
      </c>
      <c r="Z29" s="120"/>
      <c r="AA29" s="28"/>
      <c r="AB29" s="28"/>
      <c r="AC29" s="43" t="s">
        <v>19</v>
      </c>
      <c r="AD29" s="43" t="s">
        <v>45</v>
      </c>
      <c r="AE29" s="43" t="s">
        <v>46</v>
      </c>
      <c r="AF29" s="43" t="s">
        <v>52</v>
      </c>
      <c r="AG29" s="186"/>
      <c r="AH29" s="28"/>
      <c r="AI29" s="28"/>
      <c r="AJ29" s="28"/>
      <c r="AK29" s="28"/>
    </row>
    <row r="30" spans="1:37" ht="15.75" x14ac:dyDescent="0.25">
      <c r="A30" s="54" t="s">
        <v>27</v>
      </c>
      <c r="B30" s="50"/>
      <c r="C30" s="50"/>
      <c r="D30" s="50"/>
      <c r="E30" s="50"/>
      <c r="F30" s="50"/>
      <c r="G30" s="55">
        <v>1402</v>
      </c>
      <c r="H30" s="50"/>
      <c r="I30" s="50"/>
      <c r="J30" s="50"/>
      <c r="K30" s="50"/>
      <c r="L30" s="71"/>
      <c r="M30" s="50"/>
      <c r="N30" s="50"/>
      <c r="O30" s="125"/>
      <c r="P30" s="72">
        <v>1352.00956</v>
      </c>
      <c r="Q30" s="28"/>
      <c r="R30" s="61" t="s">
        <v>27</v>
      </c>
      <c r="S30" s="63"/>
      <c r="T30" s="63"/>
      <c r="U30" s="68"/>
      <c r="V30" s="68"/>
      <c r="W30" s="68"/>
      <c r="X30" s="68"/>
      <c r="Y30" s="68"/>
      <c r="Z30" s="126">
        <f>(P30*AE36)</f>
        <v>20540310.799961563</v>
      </c>
      <c r="AA30" s="28"/>
      <c r="AB30" s="43">
        <v>2018</v>
      </c>
      <c r="AC30" s="53">
        <f>AF24*1.01*1.01*1.03</f>
        <v>16803.105103594495</v>
      </c>
      <c r="AD30" s="53">
        <f>(AF26*1.01*1.01*1.03)</f>
        <v>12283.98942063</v>
      </c>
      <c r="AE30" s="53">
        <f>AD30*1.1+(AH34/1352.166667)</f>
        <v>14361.145981120522</v>
      </c>
      <c r="AF30" s="75">
        <f>T28+T33</f>
        <v>19573483.105245795</v>
      </c>
      <c r="AG30" s="187"/>
      <c r="AH30" s="28"/>
      <c r="AI30" s="28"/>
      <c r="AJ30" s="28"/>
    </row>
    <row r="31" spans="1:37" ht="15.75" x14ac:dyDescent="0.25">
      <c r="A31" s="54" t="s">
        <v>28</v>
      </c>
      <c r="B31" s="50"/>
      <c r="C31" s="50"/>
      <c r="D31" s="50"/>
      <c r="E31" s="50"/>
      <c r="F31" s="50"/>
      <c r="G31" s="50"/>
      <c r="H31" s="55">
        <v>1093.8301899999999</v>
      </c>
      <c r="I31" s="50"/>
      <c r="J31" s="50"/>
      <c r="K31" s="50"/>
      <c r="L31" s="50"/>
      <c r="M31" s="50"/>
      <c r="N31" s="50"/>
      <c r="O31" s="50"/>
      <c r="P31" s="52"/>
      <c r="Q31" s="28"/>
      <c r="R31" s="61" t="s">
        <v>28</v>
      </c>
      <c r="S31" s="63"/>
      <c r="T31" s="63"/>
      <c r="U31" s="68"/>
      <c r="V31" s="68"/>
      <c r="W31" s="127"/>
      <c r="X31" s="68"/>
      <c r="Y31" s="68"/>
      <c r="Z31" s="120"/>
      <c r="AA31" s="28"/>
      <c r="AB31" s="43">
        <v>2019</v>
      </c>
      <c r="AC31" s="53">
        <f t="shared" ref="AC31:AC36" si="2">AC30*1.01</f>
        <v>16971.13615463044</v>
      </c>
      <c r="AD31" s="53">
        <f>(AF26*1.01*1.01*1.03*1.01)</f>
        <v>12406.829314836299</v>
      </c>
      <c r="AE31" s="53">
        <f>AD31*1.1+(AH34/1352.166667)</f>
        <v>14496.269864747452</v>
      </c>
      <c r="AF31" s="75">
        <f>U25</f>
        <v>19612726.71892038</v>
      </c>
      <c r="AG31" s="186"/>
      <c r="AH31" s="28"/>
      <c r="AI31" s="28"/>
      <c r="AJ31" s="28"/>
    </row>
    <row r="32" spans="1:37" ht="15.75" x14ac:dyDescent="0.25">
      <c r="A32" s="54" t="s">
        <v>29</v>
      </c>
      <c r="B32" s="50"/>
      <c r="C32" s="50"/>
      <c r="D32" s="50"/>
      <c r="E32" s="50"/>
      <c r="F32" s="50"/>
      <c r="G32" s="50"/>
      <c r="H32" s="50"/>
      <c r="I32" s="78">
        <v>1333.9999499999999</v>
      </c>
      <c r="J32" s="50"/>
      <c r="K32" s="50"/>
      <c r="L32" s="50"/>
      <c r="M32" s="50"/>
      <c r="N32" s="50"/>
      <c r="O32" s="50"/>
      <c r="P32" s="52"/>
      <c r="Q32" s="28"/>
      <c r="R32" s="61" t="s">
        <v>29</v>
      </c>
      <c r="S32" s="79">
        <f>(17733.1788*I32)</f>
        <v>23656059.63254106</v>
      </c>
      <c r="T32" s="63"/>
      <c r="U32" s="68"/>
      <c r="V32" s="68"/>
      <c r="W32" s="68"/>
      <c r="X32" s="127"/>
      <c r="Y32" s="127"/>
      <c r="Z32" s="120"/>
      <c r="AA32" s="28"/>
      <c r="AB32" s="43">
        <v>2020</v>
      </c>
      <c r="AC32" s="53">
        <f t="shared" si="2"/>
        <v>17140.847516176746</v>
      </c>
      <c r="AD32" s="53">
        <f>(AF26*1.01*1.01*1.03*1.01*1.01)</f>
        <v>12530.897607984662</v>
      </c>
      <c r="AE32" s="53">
        <f>AD32*1.1+(AH34/1352.166667)</f>
        <v>14632.744987210652</v>
      </c>
      <c r="AF32" s="75">
        <f>V26</f>
        <v>19783616.086884174</v>
      </c>
      <c r="AG32" s="186" t="s">
        <v>53</v>
      </c>
      <c r="AH32" s="77">
        <f>18522.53-11691.21</f>
        <v>6831.32</v>
      </c>
      <c r="AI32" s="28"/>
      <c r="AJ32" s="28"/>
    </row>
    <row r="33" spans="1:37" ht="16.5" thickBot="1" x14ac:dyDescent="0.3">
      <c r="A33" s="54" t="s">
        <v>30</v>
      </c>
      <c r="B33" s="128"/>
      <c r="C33" s="128"/>
      <c r="D33" s="128"/>
      <c r="E33" s="128"/>
      <c r="F33" s="128"/>
      <c r="G33" s="128"/>
      <c r="H33" s="128"/>
      <c r="I33" s="128"/>
      <c r="J33" s="129">
        <v>144</v>
      </c>
      <c r="K33" s="128"/>
      <c r="L33" s="128"/>
      <c r="M33" s="128"/>
      <c r="N33" s="128"/>
      <c r="O33" s="128"/>
      <c r="P33" s="130"/>
      <c r="Q33" s="28"/>
      <c r="R33" s="61" t="s">
        <v>30</v>
      </c>
      <c r="S33" s="63"/>
      <c r="T33" s="79">
        <f>J33*AC30</f>
        <v>2419647.1349176071</v>
      </c>
      <c r="U33" s="68"/>
      <c r="V33" s="68"/>
      <c r="W33" s="68"/>
      <c r="X33" s="68"/>
      <c r="Y33" s="68"/>
      <c r="Z33" s="131"/>
      <c r="AA33" s="28"/>
      <c r="AB33" s="43">
        <v>2021</v>
      </c>
      <c r="AC33" s="53">
        <f t="shared" si="2"/>
        <v>17312.255991338512</v>
      </c>
      <c r="AD33" s="53">
        <f>(AF26*1.01*1.01*1.03*1.01*1.01*1.01)</f>
        <v>12656.206584064508</v>
      </c>
      <c r="AE33" s="53">
        <f>AD33*1.1+(AH34/1352.166667)</f>
        <v>14770.584860898482</v>
      </c>
      <c r="AF33" s="75">
        <f>W27</f>
        <v>19969975.926783931</v>
      </c>
      <c r="AG33" s="186" t="s">
        <v>31</v>
      </c>
      <c r="AH33" s="28">
        <v>168</v>
      </c>
      <c r="AI33" s="28"/>
      <c r="AJ33" s="28"/>
    </row>
    <row r="34" spans="1:37" ht="16.5" thickTop="1" x14ac:dyDescent="0.25">
      <c r="A34" s="80" t="s">
        <v>32</v>
      </c>
      <c r="B34" s="81">
        <v>345</v>
      </c>
      <c r="C34" s="81">
        <v>942</v>
      </c>
      <c r="D34" s="81">
        <v>866</v>
      </c>
      <c r="E34" s="81">
        <v>831</v>
      </c>
      <c r="F34" s="81">
        <v>1155</v>
      </c>
      <c r="G34" s="81">
        <v>1836</v>
      </c>
      <c r="H34" s="81">
        <v>1805</v>
      </c>
      <c r="I34" s="82">
        <v>1512.9770000000001</v>
      </c>
      <c r="J34" s="82">
        <v>1585.3402000000001</v>
      </c>
      <c r="K34" s="82">
        <f>SUM(K25:K33)</f>
        <v>1352.9498900000001</v>
      </c>
      <c r="L34" s="82">
        <f>SUM(L26:L33)</f>
        <v>1352.0099</v>
      </c>
      <c r="M34" s="82">
        <f>SUM(M26:M33)</f>
        <v>1352.00983</v>
      </c>
      <c r="N34" s="83">
        <f>SUM(N26:N33)</f>
        <v>1352.00974</v>
      </c>
      <c r="O34" s="83">
        <f>SUM(O25:O33)</f>
        <v>1352.0096490000001</v>
      </c>
      <c r="P34" s="84">
        <f>SUM(P29:P33)</f>
        <v>1352.00956</v>
      </c>
      <c r="Q34" s="28"/>
      <c r="R34" s="85" t="s">
        <v>32</v>
      </c>
      <c r="S34" s="86">
        <f>SUM(S27:S33)</f>
        <v>27661059.50566579</v>
      </c>
      <c r="T34" s="86">
        <f>SUM(T28:T33)</f>
        <v>19573483.105245795</v>
      </c>
      <c r="U34" s="86">
        <f t="shared" ref="U34:Z34" si="3">SUM(U25:U33)</f>
        <v>19612726.71892038</v>
      </c>
      <c r="V34" s="86">
        <f t="shared" si="3"/>
        <v>19783616.086884174</v>
      </c>
      <c r="W34" s="86">
        <f t="shared" si="3"/>
        <v>19969975.926783931</v>
      </c>
      <c r="X34" s="87">
        <f t="shared" si="3"/>
        <v>20158199.057735477</v>
      </c>
      <c r="Y34" s="87">
        <f t="shared" si="3"/>
        <v>20348304.393055063</v>
      </c>
      <c r="Z34" s="88">
        <f t="shared" si="3"/>
        <v>20540310.799961563</v>
      </c>
      <c r="AA34" s="28"/>
      <c r="AB34" s="42">
        <v>2022</v>
      </c>
      <c r="AC34" s="53">
        <f t="shared" si="2"/>
        <v>17485.378551251899</v>
      </c>
      <c r="AD34" s="53">
        <f>(AF26*1.01*1.01*1.03*1.01*1.01*1.01*1.01)</f>
        <v>12782.768649905154</v>
      </c>
      <c r="AE34" s="53">
        <f>AD34*1.1+(AH34/1352.166667)</f>
        <v>14909.803133323194</v>
      </c>
      <c r="AF34" s="75">
        <f>X28</f>
        <v>20158199.057735477</v>
      </c>
      <c r="AG34" s="186" t="s">
        <v>33</v>
      </c>
      <c r="AH34" s="77">
        <f>AH32*AH33</f>
        <v>1147661.76</v>
      </c>
      <c r="AI34" s="28"/>
      <c r="AJ34" s="28"/>
    </row>
    <row r="35" spans="1:37" x14ac:dyDescent="0.25">
      <c r="A35" s="89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90"/>
      <c r="Q35" s="28"/>
      <c r="R35" s="91"/>
      <c r="S35" s="92"/>
      <c r="T35" s="92"/>
      <c r="U35" s="92"/>
      <c r="V35" s="92"/>
      <c r="W35" s="92"/>
      <c r="X35" s="92"/>
      <c r="Y35" s="92"/>
      <c r="Z35" s="93"/>
      <c r="AA35" s="28"/>
      <c r="AB35" s="43">
        <v>2023</v>
      </c>
      <c r="AC35" s="53">
        <f t="shared" si="2"/>
        <v>17660.232336764417</v>
      </c>
      <c r="AD35" s="53">
        <f>(AF26*1.01*1.01*1.03*1.01*1.01*1.01*1.01*1.01)</f>
        <v>12910.596336404205</v>
      </c>
      <c r="AE35" s="53">
        <f>AD35*1.1+(AH34/1352.166667)</f>
        <v>15050.413588472149</v>
      </c>
      <c r="AF35" s="75">
        <f>Y29</f>
        <v>20348304.393055063</v>
      </c>
      <c r="AG35" s="186"/>
      <c r="AH35" s="28"/>
      <c r="AI35" s="28"/>
      <c r="AJ35" s="28"/>
    </row>
    <row r="36" spans="1:37" ht="15.75" x14ac:dyDescent="0.25">
      <c r="A36" s="94"/>
      <c r="B36" s="95"/>
      <c r="C36" s="95"/>
      <c r="D36" s="95"/>
      <c r="E36" s="96"/>
      <c r="F36" s="97"/>
      <c r="G36" s="203" t="s">
        <v>34</v>
      </c>
      <c r="H36" s="204"/>
      <c r="I36" s="204"/>
      <c r="J36" s="204"/>
      <c r="K36" s="204"/>
      <c r="L36" s="204"/>
      <c r="M36" s="204"/>
      <c r="N36" s="204"/>
      <c r="O36" s="204"/>
      <c r="P36" s="205"/>
      <c r="Q36" s="28"/>
      <c r="R36" s="91"/>
      <c r="S36" s="92"/>
      <c r="T36" s="98"/>
      <c r="U36" s="203" t="s">
        <v>34</v>
      </c>
      <c r="V36" s="204"/>
      <c r="W36" s="204"/>
      <c r="X36" s="204"/>
      <c r="Y36" s="204"/>
      <c r="Z36" s="205"/>
      <c r="AA36" s="28"/>
      <c r="AB36" s="43">
        <v>2024</v>
      </c>
      <c r="AC36" s="53">
        <f t="shared" si="2"/>
        <v>17836.834660132063</v>
      </c>
      <c r="AD36" s="53">
        <f>(AF26*1.01*1.01*1.03*1.01*1.01*1.01*1.01*1.01*1.01)</f>
        <v>13039.702299768247</v>
      </c>
      <c r="AE36" s="53">
        <f>AD36*1.1+(AH34/1352.166667)</f>
        <v>15192.430148172594</v>
      </c>
      <c r="AF36" s="75">
        <f>Z30</f>
        <v>20540310.799961563</v>
      </c>
      <c r="AG36" s="186"/>
      <c r="AH36" s="28"/>
      <c r="AI36" s="28"/>
      <c r="AJ36" s="28"/>
    </row>
    <row r="37" spans="1:37" ht="15.75" x14ac:dyDescent="0.25">
      <c r="A37" s="94"/>
      <c r="B37" s="95"/>
      <c r="C37" s="95"/>
      <c r="D37" s="95"/>
      <c r="E37" s="96"/>
      <c r="F37" s="99"/>
      <c r="G37" s="203" t="s">
        <v>35</v>
      </c>
      <c r="H37" s="204"/>
      <c r="I37" s="204"/>
      <c r="J37" s="204"/>
      <c r="K37" s="204"/>
      <c r="L37" s="204"/>
      <c r="M37" s="204"/>
      <c r="N37" s="204"/>
      <c r="O37" s="204"/>
      <c r="P37" s="205"/>
      <c r="Q37" s="28"/>
      <c r="R37" s="91"/>
      <c r="S37" s="92"/>
      <c r="T37" s="100"/>
      <c r="U37" s="203" t="s">
        <v>35</v>
      </c>
      <c r="V37" s="204"/>
      <c r="W37" s="204"/>
      <c r="X37" s="204"/>
      <c r="Y37" s="204"/>
      <c r="Z37" s="205"/>
      <c r="AA37" s="28"/>
      <c r="AB37" s="28"/>
      <c r="AC37" s="28"/>
      <c r="AD37" s="28"/>
      <c r="AE37" s="30"/>
      <c r="AF37" s="30"/>
      <c r="AG37" s="186"/>
      <c r="AH37" s="28"/>
      <c r="AI37" s="28"/>
      <c r="AJ37" s="28"/>
      <c r="AK37" s="28"/>
    </row>
    <row r="38" spans="1:37" ht="16.5" thickBot="1" x14ac:dyDescent="0.3">
      <c r="A38" s="101"/>
      <c r="B38" s="102"/>
      <c r="C38" s="102"/>
      <c r="D38" s="102"/>
      <c r="E38" s="103"/>
      <c r="F38" s="104"/>
      <c r="G38" s="207" t="s">
        <v>37</v>
      </c>
      <c r="H38" s="208"/>
      <c r="I38" s="208"/>
      <c r="J38" s="208"/>
      <c r="K38" s="208"/>
      <c r="L38" s="208"/>
      <c r="M38" s="208"/>
      <c r="N38" s="208"/>
      <c r="O38" s="208"/>
      <c r="P38" s="209"/>
      <c r="Q38" s="28"/>
      <c r="R38" s="105"/>
      <c r="S38" s="106"/>
      <c r="T38" s="107"/>
      <c r="U38" s="207" t="s">
        <v>37</v>
      </c>
      <c r="V38" s="208"/>
      <c r="W38" s="208"/>
      <c r="X38" s="208"/>
      <c r="Y38" s="208"/>
      <c r="Z38" s="209"/>
      <c r="AA38" s="28"/>
      <c r="AB38" s="28"/>
      <c r="AC38" s="28"/>
      <c r="AD38" s="28"/>
      <c r="AE38" s="28"/>
      <c r="AF38" s="28"/>
      <c r="AG38" s="186"/>
      <c r="AH38" s="28"/>
      <c r="AI38" s="28"/>
      <c r="AJ38" s="28"/>
      <c r="AK38" s="28"/>
    </row>
    <row r="39" spans="1:37" ht="15.75" thickTop="1" x14ac:dyDescent="0.2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G39" s="186"/>
      <c r="AH39" s="28"/>
      <c r="AI39" s="28"/>
      <c r="AJ39" s="28"/>
      <c r="AK39" s="28"/>
    </row>
  </sheetData>
  <mergeCells count="19">
    <mergeCell ref="A1:X2"/>
    <mergeCell ref="A3:I4"/>
    <mergeCell ref="G5:H5"/>
    <mergeCell ref="I5:I6"/>
    <mergeCell ref="D17:H17"/>
    <mergeCell ref="A5:A6"/>
    <mergeCell ref="B5:C5"/>
    <mergeCell ref="D5:D6"/>
    <mergeCell ref="E5:E6"/>
    <mergeCell ref="F5:F6"/>
    <mergeCell ref="A19:G20"/>
    <mergeCell ref="G38:P38"/>
    <mergeCell ref="U38:Z38"/>
    <mergeCell ref="A21:P22"/>
    <mergeCell ref="R21:Z22"/>
    <mergeCell ref="G36:P36"/>
    <mergeCell ref="U36:Z36"/>
    <mergeCell ref="G37:P37"/>
    <mergeCell ref="U37:Z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Exhibit EGP5</vt:lpstr>
      <vt:lpstr>2017 5 Yr Plan</vt:lpstr>
      <vt:lpstr>2017 Alternative 6 Yr Plan</vt:lpstr>
    </vt:vector>
  </TitlesOfParts>
  <Company>American Electric Power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AEP</dc:creator>
  <cp:lastModifiedBy>AEP</cp:lastModifiedBy>
  <cp:lastPrinted>2017-05-19T19:48:02Z</cp:lastPrinted>
  <dcterms:created xsi:type="dcterms:W3CDTF">2017-03-19T18:01:57Z</dcterms:created>
  <dcterms:modified xsi:type="dcterms:W3CDTF">2017-07-12T08:54:46Z</dcterms:modified>
</cp:coreProperties>
</file>