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erstreet\AppData\Local\Temp\Workshare\veniuc3w.15h\1\"/>
    </mc:Choice>
  </mc:AlternateContent>
  <bookViews>
    <workbookView xWindow="0" yWindow="0" windowWidth="23040" windowHeight="10275"/>
  </bookViews>
  <sheets>
    <sheet name="Non-FGD" sheetId="1" r:id="rId1"/>
    <sheet name="Rockport" sheetId="16" r:id="rId2"/>
    <sheet name="Property Tax" sheetId="14" r:id="rId3"/>
    <sheet name="Allocation Factors" sheetId="2" r:id="rId4"/>
    <sheet name="3.15 " sheetId="26" r:id="rId5"/>
  </sheets>
  <externalReferences>
    <externalReference r:id="rId6"/>
    <externalReference r:id="rId7"/>
    <externalReference r:id="rId8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OPR_ID">#REF!</definedName>
    <definedName name="PC_Percent">'[3]Property Tax'!$B$6</definedName>
    <definedName name="_xlnm.Print_Area" localSheetId="0">'Non-FGD'!$A$1:$N$47</definedName>
    <definedName name="Rev_End">#REF!</definedName>
    <definedName name="search_directory_name">"R:\fcm90prd\nvision\rpts\Fin_Reports\"</definedName>
    <definedName name="tim" localSheetId="4">#REF!</definedName>
    <definedName name="tim">#REF!</definedName>
    <definedName name="WV_List">'[3]Property Tax'!$B$4</definedName>
  </definedNames>
  <calcPr calcId="162913"/>
</workbook>
</file>

<file path=xl/calcChain.xml><?xml version="1.0" encoding="utf-8"?>
<calcChain xmlns="http://schemas.openxmlformats.org/spreadsheetml/2006/main">
  <c r="K29" i="1" l="1"/>
  <c r="I39" i="1"/>
  <c r="E17" i="16" l="1"/>
  <c r="G17" i="16" l="1"/>
  <c r="H17" i="16"/>
  <c r="I17" i="16"/>
  <c r="J17" i="16"/>
  <c r="K17" i="16"/>
  <c r="L17" i="16"/>
  <c r="M17" i="16"/>
  <c r="N17" i="16"/>
  <c r="P17" i="16"/>
  <c r="F17" i="16"/>
  <c r="D2" i="2" l="1"/>
  <c r="B38" i="26" l="1"/>
  <c r="B40" i="26" s="1"/>
  <c r="B42" i="26" s="1"/>
  <c r="O32" i="26"/>
  <c r="O42" i="26" s="1"/>
  <c r="S30" i="26"/>
  <c r="S28" i="26"/>
  <c r="S26" i="26"/>
  <c r="S32" i="26" s="1"/>
  <c r="F18" i="26"/>
  <c r="H16" i="26" s="1"/>
  <c r="M16" i="26" s="1"/>
  <c r="B14" i="26"/>
  <c r="B15" i="26" s="1"/>
  <c r="B16" i="26" s="1"/>
  <c r="B18" i="26" s="1"/>
  <c r="H13" i="26" l="1"/>
  <c r="H18" i="26" s="1"/>
  <c r="O14" i="26"/>
  <c r="O13" i="26"/>
  <c r="O15" i="26"/>
  <c r="S34" i="26"/>
  <c r="S36" i="26" s="1"/>
  <c r="H14" i="26"/>
  <c r="M14" i="26" s="1"/>
  <c r="H15" i="26"/>
  <c r="M15" i="26" s="1"/>
  <c r="M13" i="26" l="1"/>
  <c r="S13" i="26" s="1"/>
  <c r="S38" i="26"/>
  <c r="S40" i="26"/>
  <c r="S42" i="26" s="1"/>
  <c r="O16" i="26" s="1"/>
  <c r="S16" i="26" s="1"/>
  <c r="S15" i="26"/>
  <c r="S14" i="26"/>
  <c r="S18" i="26" l="1"/>
  <c r="D18" i="1" s="1"/>
  <c r="P19" i="1" s="1"/>
  <c r="E19" i="1" l="1"/>
  <c r="J19" i="1"/>
  <c r="K19" i="1"/>
  <c r="M19" i="1"/>
  <c r="G19" i="1"/>
  <c r="G21" i="1" s="1"/>
  <c r="O19" i="1"/>
  <c r="O21" i="1" s="1"/>
  <c r="I19" i="1"/>
  <c r="I21" i="1" s="1"/>
  <c r="L19" i="1"/>
  <c r="L21" i="1" s="1"/>
  <c r="F19" i="1"/>
  <c r="N19" i="1"/>
  <c r="N21" i="1" s="1"/>
  <c r="H19" i="1"/>
  <c r="E21" i="1"/>
  <c r="M21" i="1"/>
  <c r="F21" i="1"/>
  <c r="J21" i="1"/>
  <c r="K21" i="1"/>
  <c r="H21" i="1"/>
  <c r="P21" i="1"/>
  <c r="P25" i="16" l="1"/>
  <c r="O25" i="16"/>
  <c r="O15" i="16"/>
  <c r="O17" i="16" s="1"/>
  <c r="O4" i="16"/>
  <c r="P4" i="16" s="1"/>
  <c r="P26" i="16"/>
  <c r="P27" i="16" s="1"/>
  <c r="P9" i="16"/>
  <c r="P16" i="16" s="1"/>
  <c r="P18" i="16" s="1"/>
  <c r="P23" i="16" s="1"/>
  <c r="O26" i="16"/>
  <c r="O27" i="16" s="1"/>
  <c r="O9" i="16"/>
  <c r="O16" i="16" s="1"/>
  <c r="O18" i="16" s="1"/>
  <c r="O23" i="16" s="1"/>
  <c r="O4" i="1"/>
  <c r="P4" i="1" s="1"/>
  <c r="P42" i="1"/>
  <c r="O42" i="1"/>
  <c r="P41" i="1"/>
  <c r="O41" i="1"/>
  <c r="P40" i="1"/>
  <c r="O40" i="1"/>
  <c r="P39" i="1"/>
  <c r="O39" i="1"/>
  <c r="P9" i="1"/>
  <c r="P20" i="1" s="1"/>
  <c r="O9" i="1"/>
  <c r="O20" i="1" s="1"/>
  <c r="P43" i="1" l="1"/>
  <c r="O43" i="1"/>
  <c r="O17" i="1"/>
  <c r="O22" i="1" s="1"/>
  <c r="O35" i="1" s="1"/>
  <c r="P17" i="1"/>
  <c r="P22" i="1" s="1"/>
  <c r="P35" i="1" s="1"/>
  <c r="P44" i="1" s="1"/>
  <c r="O13" i="16"/>
  <c r="P13" i="16"/>
  <c r="O44" i="1" l="1"/>
  <c r="P28" i="16"/>
  <c r="P29" i="16" s="1"/>
  <c r="P45" i="1" s="1"/>
  <c r="P47" i="1" s="1"/>
  <c r="O28" i="16"/>
  <c r="O29" i="16" s="1"/>
  <c r="O45" i="1" s="1"/>
  <c r="O47" i="1" l="1"/>
  <c r="E26" i="16" l="1"/>
  <c r="E27" i="16" s="1"/>
  <c r="F26" i="16"/>
  <c r="F27" i="16" s="1"/>
  <c r="G26" i="16"/>
  <c r="G27" i="16" s="1"/>
  <c r="H26" i="16"/>
  <c r="H27" i="16" s="1"/>
  <c r="I26" i="16"/>
  <c r="I27" i="16" s="1"/>
  <c r="J26" i="16"/>
  <c r="J27" i="16" s="1"/>
  <c r="K26" i="16"/>
  <c r="K27" i="16" s="1"/>
  <c r="L26" i="16"/>
  <c r="L27" i="16" s="1"/>
  <c r="M26" i="16"/>
  <c r="M27" i="16" s="1"/>
  <c r="N26" i="16"/>
  <c r="N27" i="16" s="1"/>
  <c r="E9" i="16"/>
  <c r="E16" i="16" s="1"/>
  <c r="E18" i="16" s="1"/>
  <c r="E23" i="16" s="1"/>
  <c r="F9" i="16"/>
  <c r="F16" i="16" s="1"/>
  <c r="F18" i="16" s="1"/>
  <c r="F23" i="16" s="1"/>
  <c r="G9" i="16"/>
  <c r="G16" i="16" s="1"/>
  <c r="G18" i="16" s="1"/>
  <c r="G23" i="16" s="1"/>
  <c r="H9" i="16"/>
  <c r="H16" i="16" s="1"/>
  <c r="H18" i="16" s="1"/>
  <c r="H23" i="16" s="1"/>
  <c r="I9" i="16"/>
  <c r="I16" i="16" s="1"/>
  <c r="I18" i="16" s="1"/>
  <c r="I23" i="16" s="1"/>
  <c r="J9" i="16"/>
  <c r="J16" i="16" s="1"/>
  <c r="J18" i="16" s="1"/>
  <c r="J23" i="16" s="1"/>
  <c r="K9" i="16"/>
  <c r="L9" i="16"/>
  <c r="L16" i="16" s="1"/>
  <c r="L18" i="16" s="1"/>
  <c r="L23" i="16" s="1"/>
  <c r="M9" i="16"/>
  <c r="M16" i="16" s="1"/>
  <c r="M18" i="16" s="1"/>
  <c r="M23" i="16" s="1"/>
  <c r="N9" i="16"/>
  <c r="N16" i="16" s="1"/>
  <c r="N18" i="16" s="1"/>
  <c r="N23" i="16" s="1"/>
  <c r="A7" i="16"/>
  <c r="A8" i="16" s="1"/>
  <c r="A9" i="16" s="1"/>
  <c r="A10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K13" i="16" l="1"/>
  <c r="K16" i="16"/>
  <c r="K18" i="16" s="1"/>
  <c r="K23" i="16" s="1"/>
  <c r="L13" i="16"/>
  <c r="L28" i="16" s="1"/>
  <c r="L29" i="16" s="1"/>
  <c r="L45" i="1" s="1"/>
  <c r="G13" i="16"/>
  <c r="G28" i="16" s="1"/>
  <c r="G29" i="16" s="1"/>
  <c r="G45" i="1" s="1"/>
  <c r="N13" i="16"/>
  <c r="N28" i="16" s="1"/>
  <c r="N29" i="16" s="1"/>
  <c r="N45" i="1" s="1"/>
  <c r="J13" i="16"/>
  <c r="J28" i="16" s="1"/>
  <c r="J29" i="16" s="1"/>
  <c r="J45" i="1" s="1"/>
  <c r="F13" i="16"/>
  <c r="F28" i="16" s="1"/>
  <c r="F29" i="16" s="1"/>
  <c r="F45" i="1" s="1"/>
  <c r="H13" i="16"/>
  <c r="H28" i="16" s="1"/>
  <c r="H29" i="16" s="1"/>
  <c r="H45" i="1" s="1"/>
  <c r="M13" i="16"/>
  <c r="M28" i="16" s="1"/>
  <c r="M29" i="16" s="1"/>
  <c r="M45" i="1" s="1"/>
  <c r="I13" i="16"/>
  <c r="I28" i="16" s="1"/>
  <c r="I29" i="16" s="1"/>
  <c r="I45" i="1" s="1"/>
  <c r="E13" i="16"/>
  <c r="E28" i="16" s="1"/>
  <c r="E29" i="16" s="1"/>
  <c r="E45" i="1" s="1"/>
  <c r="K28" i="16"/>
  <c r="K29" i="16" s="1"/>
  <c r="K45" i="1" s="1"/>
  <c r="H41" i="1" l="1"/>
  <c r="I41" i="1"/>
  <c r="J41" i="1"/>
  <c r="K41" i="1"/>
  <c r="L41" i="1"/>
  <c r="M41" i="1"/>
  <c r="N41" i="1"/>
  <c r="G41" i="1"/>
  <c r="E41" i="1"/>
  <c r="F41" i="1"/>
  <c r="L40" i="1"/>
  <c r="M40" i="1"/>
  <c r="N40" i="1"/>
  <c r="L42" i="1" l="1"/>
  <c r="M42" i="1"/>
  <c r="N42" i="1"/>
  <c r="L9" i="1"/>
  <c r="M9" i="1"/>
  <c r="N9" i="1"/>
  <c r="L17" i="1" l="1"/>
  <c r="L20" i="1"/>
  <c r="N17" i="1"/>
  <c r="N20" i="1"/>
  <c r="M17" i="1"/>
  <c r="M20" i="1"/>
  <c r="F40" i="1" l="1"/>
  <c r="F42" i="1"/>
  <c r="F9" i="1"/>
  <c r="E40" i="1"/>
  <c r="E42" i="1"/>
  <c r="E9" i="1"/>
  <c r="E20" i="1" s="1"/>
  <c r="F17" i="1" l="1"/>
  <c r="F20" i="1"/>
  <c r="E17" i="1"/>
  <c r="G42" i="1"/>
  <c r="G9" i="1"/>
  <c r="G40" i="1"/>
  <c r="G17" i="1" l="1"/>
  <c r="G20" i="1"/>
  <c r="H9" i="1"/>
  <c r="H40" i="1"/>
  <c r="H42" i="1"/>
  <c r="H17" i="1" l="1"/>
  <c r="H20" i="1"/>
  <c r="I40" i="1"/>
  <c r="I42" i="1"/>
  <c r="I9" i="1"/>
  <c r="I17" i="1" l="1"/>
  <c r="I20" i="1"/>
  <c r="J40" i="1"/>
  <c r="J9" i="1"/>
  <c r="J42" i="1"/>
  <c r="J17" i="1" l="1"/>
  <c r="J20" i="1"/>
  <c r="K9" i="1"/>
  <c r="K40" i="1"/>
  <c r="K42" i="1"/>
  <c r="K17" i="1" l="1"/>
  <c r="K20" i="1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N43" i="1" l="1"/>
  <c r="M43" i="1"/>
  <c r="L43" i="1"/>
  <c r="K43" i="1"/>
  <c r="J43" i="1"/>
  <c r="I43" i="1"/>
  <c r="H43" i="1"/>
  <c r="G43" i="1"/>
  <c r="F43" i="1"/>
  <c r="E43" i="1"/>
  <c r="N39" i="1"/>
  <c r="M39" i="1"/>
  <c r="L39" i="1"/>
  <c r="K39" i="1"/>
  <c r="J39" i="1"/>
  <c r="H39" i="1"/>
  <c r="G39" i="1"/>
  <c r="F39" i="1"/>
  <c r="E39" i="1"/>
  <c r="N22" i="1"/>
  <c r="N35" i="1" s="1"/>
  <c r="M22" i="1"/>
  <c r="M35" i="1" s="1"/>
  <c r="L22" i="1"/>
  <c r="L35" i="1" s="1"/>
  <c r="K22" i="1"/>
  <c r="K35" i="1" s="1"/>
  <c r="J22" i="1"/>
  <c r="J35" i="1" s="1"/>
  <c r="I22" i="1"/>
  <c r="I35" i="1" s="1"/>
  <c r="H22" i="1"/>
  <c r="H35" i="1" s="1"/>
  <c r="G22" i="1"/>
  <c r="G35" i="1" s="1"/>
  <c r="F22" i="1"/>
  <c r="F35" i="1" s="1"/>
  <c r="E22" i="1"/>
  <c r="E35" i="1" s="1"/>
  <c r="E44" i="1" l="1"/>
  <c r="E47" i="1" s="1"/>
  <c r="I44" i="1"/>
  <c r="I47" i="1" s="1"/>
  <c r="M44" i="1"/>
  <c r="M47" i="1" s="1"/>
  <c r="H44" i="1"/>
  <c r="H47" i="1" s="1"/>
  <c r="L44" i="1"/>
  <c r="L47" i="1" s="1"/>
  <c r="F44" i="1"/>
  <c r="F47" i="1" s="1"/>
  <c r="J44" i="1"/>
  <c r="J47" i="1" s="1"/>
  <c r="N44" i="1"/>
  <c r="N47" i="1" s="1"/>
  <c r="G44" i="1"/>
  <c r="G47" i="1" s="1"/>
  <c r="K44" i="1"/>
  <c r="K47" i="1" s="1"/>
  <c r="A17" i="1" l="1"/>
  <c r="A18" i="1" s="1"/>
  <c r="A19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<sst xmlns="http://schemas.openxmlformats.org/spreadsheetml/2006/main" count="135" uniqueCount="103">
  <si>
    <t>Ln. No.</t>
  </si>
  <si>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</si>
  <si>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</si>
  <si>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</si>
  <si>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</si>
  <si>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</si>
  <si>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</si>
  <si>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</si>
  <si>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</t>
  </si>
  <si>
    <t>*CSAPR AN Emission Allowance Inventory</t>
  </si>
  <si>
    <t>Cash Working Capital Allowance</t>
  </si>
  <si>
    <t>Total Rate Base</t>
  </si>
  <si>
    <t>Weighted Average Cost of Capital</t>
  </si>
  <si>
    <t xml:space="preserve"> </t>
  </si>
  <si>
    <t>Monthly Weighted Avg. Cost of Capital</t>
  </si>
  <si>
    <t>Monthly Disposal (5010000)</t>
  </si>
  <si>
    <t>Monthly Urea Expense (5020002)</t>
  </si>
  <si>
    <t>Monthly Trona Expense (5020003)</t>
  </si>
  <si>
    <t>Monthly Lime Stone Expense (5020004)</t>
  </si>
  <si>
    <t>Monthly Polymer Expense (5020005)</t>
  </si>
  <si>
    <t>Monthly Lime Hydrate Expense (5020007)</t>
  </si>
  <si>
    <t>Monthly WV Air Emission Fee</t>
  </si>
  <si>
    <t>SO2 Consumption **</t>
  </si>
  <si>
    <t>CSAPR S02 Consumption  **</t>
  </si>
  <si>
    <t>CSAPR Seasonal Nox Consumption</t>
  </si>
  <si>
    <t>CSAPR Annual Nox consumption</t>
  </si>
  <si>
    <t>Total Monthly Operation Costs</t>
  </si>
  <si>
    <t>Monthly FGD Maintenance Expense</t>
  </si>
  <si>
    <t>Monthly Non-FGD Maintenance Expense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</si>
  <si>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</si>
  <si>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</si>
  <si>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</si>
  <si>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</si>
  <si>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</si>
  <si>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Revenue Requirement</t>
  </si>
  <si>
    <t>Mitchell Non-FGD  Revenue Requirement</t>
  </si>
  <si>
    <t>Rockport Environmental Revenue Requirement</t>
  </si>
  <si>
    <t xml:space="preserve"> Gain or Loss on Sale of Allowances</t>
  </si>
  <si>
    <t>Kentucky Retail Revenues</t>
  </si>
  <si>
    <t>FERC Wholesale Revenues</t>
  </si>
  <si>
    <t>Associated Utilities Revenues</t>
  </si>
  <si>
    <t>Non-Assoc. Utilities Revenues</t>
  </si>
  <si>
    <t>1a</t>
  </si>
  <si>
    <t>Adjustment In Case No. 2016-00336</t>
  </si>
  <si>
    <t>Marshall County, WV rate, 2014</t>
  </si>
  <si>
    <t>WV Listing Percentage</t>
  </si>
  <si>
    <t>Pollution Control Value (Salvage)</t>
  </si>
  <si>
    <t>SCR Catalyst Amount, 6-1-2016--12-31-2016</t>
  </si>
  <si>
    <t>SCR Catalyst Amount 1-31-2016--5/31/2016</t>
  </si>
  <si>
    <t>8a</t>
  </si>
  <si>
    <t>Monthly Brominated Sodium Bicarbonate (5020028)</t>
  </si>
  <si>
    <t>Monthly Activated Carbon (5020008)</t>
  </si>
  <si>
    <t>Monthly IN Air Emission Fee</t>
  </si>
  <si>
    <t xml:space="preserve">Property Tax </t>
  </si>
  <si>
    <t>Monthly Maintenance Expense</t>
  </si>
  <si>
    <t>KPCo Share of Environmental Revenue Requirement</t>
  </si>
  <si>
    <t>Adjustment in Case No. 2016-00336</t>
  </si>
  <si>
    <t>5a</t>
  </si>
  <si>
    <t>5b</t>
  </si>
  <si>
    <t>Activated Carbon (1540025)</t>
  </si>
  <si>
    <t>Sodium Bicarbonate (1540029)</t>
  </si>
  <si>
    <t>Adjustment to Include Urea-In Transit-Inventory (1540023)</t>
  </si>
  <si>
    <t>Adjustment to Include Urea Inventory (1540012)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</si>
  <si>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</si>
  <si>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</si>
  <si>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</si>
  <si>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</si>
  <si>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</si>
  <si>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</si>
  <si>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</si>
  <si>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</si>
  <si>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</si>
  <si>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</si>
  <si>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</si>
  <si>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</si>
  <si>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2/28/2017*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</si>
  <si>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</si>
  <si>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</si>
  <si>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</si>
  <si>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</si>
  <si>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</si>
  <si>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</si>
  <si>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</si>
  <si>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</si>
  <si>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</si>
  <si>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</si>
  <si>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</si>
  <si>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</si>
  <si>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</si>
  <si>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</si>
  <si>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</si>
  <si>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</si>
  <si>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</si>
  <si>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</si>
  <si>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</si>
  <si>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Monthly Return on Rate Base Other Than Consumable Inventory</t>
  </si>
  <si>
    <t>Total Return on Rate Base</t>
  </si>
  <si>
    <t>Total Return on Consumable Inventory</t>
  </si>
  <si>
    <t>Total Monthly Return on Rate Base</t>
  </si>
  <si>
    <t>Monthly Return on Consumable Inventory</t>
  </si>
  <si>
    <t>Adjustment to Non-FGD Maintenance Expense as addressed in 2017-0072</t>
  </si>
  <si>
    <t>Adjustment to Consumable Expense Described in Case No. 2017-00072</t>
  </si>
  <si>
    <t>Total Adjusted Non-FGD Revenue Requirement As Presented in AJE-1S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</si>
</sst>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0.000%"/>
    <numFmt numFmtId="168" formatCode="_(* #,##0_);_(* \(#,##0\);_(* &quot;-&quot;??_);_(@_)"/>
    <numFmt numFmtId="169" formatCode="0.000000"/>
    <numFmt numFmtId="170" formatCode="#,##0.0000_);\(#,##0.0000\)"/>
    <numFmt numFmtId="171" formatCode="_(* #,##0.0000_);_(* \(#,##0.0000\);_(* &quot;-&quot;??_);_(@_)"/>
    <numFmt numFmtId="172" formatCode="0.0000"/>
    <numFmt numFmtId="173" formatCode="0.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6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MS Sans Serif"/>
    </font>
    <font>
      <b/>
      <sz val="10"/>
      <name val="MS Sans Serif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3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9" fontId="15" fillId="0" borderId="0" applyFont="0" applyFill="0" applyBorder="0" applyAlignment="0" applyProtection="0"/>
    <xf numFmtId="0" fontId="19" fillId="3" borderId="0" applyNumberFormat="0" applyFont="0" applyBorder="0" applyAlignment="0" applyProtection="0"/>
    <xf numFmtId="3" fontId="19" fillId="0" borderId="0" applyFont="0" applyFill="0" applyBorder="0" applyAlignment="0" applyProtection="0"/>
    <xf numFmtId="0" fontId="20" fillId="0" borderId="11">
      <alignment horizontal="center"/>
    </xf>
    <xf numFmtId="4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/>
    <xf numFmtId="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</cellStyleXfs>
  <cellXfs count="279">
    <xf numFmtId="0" fontId="0" fillId="0" borderId="0" xfId="0"/>
    <xf numFmtId="0" fontId="2" fillId="2" borderId="2" xfId="2" applyFont="1" applyFill="1" applyBorder="1"/>
    <xf numFmtId="0" fontId="2" fillId="0" borderId="3" xfId="2" applyFont="1" applyBorder="1"/>
    <xf numFmtId="0" fontId="2" fillId="0" borderId="4" xfId="2" applyFont="1" applyBorder="1"/>
    <xf numFmtId="0" fontId="2" fillId="2" borderId="0" xfId="2" applyFont="1" applyFill="1"/>
    <xf numFmtId="0" fontId="2" fillId="0" borderId="6" xfId="2" applyFont="1" applyBorder="1" applyAlignment="1">
      <alignment horizontal="center"/>
    </xf>
    <xf numFmtId="0" fontId="2" fillId="0" borderId="0" xfId="2" applyFont="1" applyBorder="1"/>
    <xf numFmtId="0" fontId="1" fillId="0" borderId="5" xfId="2" applyBorder="1" applyAlignment="1">
      <alignment horizontal="center"/>
    </xf>
    <xf numFmtId="0" fontId="1" fillId="2" borderId="0" xfId="2" applyFill="1"/>
    <xf numFmtId="0" fontId="1" fillId="0" borderId="6" xfId="2" applyBorder="1"/>
    <xf numFmtId="0" fontId="1" fillId="0" borderId="0" xfId="2" applyBorder="1"/>
    <xf numFmtId="0" fontId="1" fillId="0" borderId="5" xfId="2" applyBorder="1"/>
    <xf numFmtId="0" fontId="2" fillId="0" borderId="5" xfId="2" applyFont="1" applyBorder="1" applyAlignment="1">
      <alignment horizontal="center"/>
    </xf>
    <xf numFmtId="164" fontId="1" fillId="0" borderId="5" xfId="2" applyNumberFormat="1" applyBorder="1"/>
    <xf numFmtId="0" fontId="2" fillId="0" borderId="5" xfId="2" applyFont="1" applyFill="1" applyBorder="1" applyAlignment="1">
      <alignment horizontal="center"/>
    </xf>
    <xf numFmtId="0" fontId="1" fillId="0" borderId="6" xfId="2" applyFill="1" applyBorder="1"/>
    <xf numFmtId="0" fontId="1" fillId="0" borderId="0" xfId="2" applyFill="1" applyBorder="1"/>
    <xf numFmtId="164" fontId="2" fillId="0" borderId="7" xfId="2" applyNumberFormat="1" applyFont="1" applyBorder="1"/>
    <xf numFmtId="164" fontId="1" fillId="0" borderId="8" xfId="2" applyNumberFormat="1" applyBorder="1"/>
    <xf numFmtId="0" fontId="2" fillId="0" borderId="6" xfId="2" applyFont="1" applyBorder="1" applyAlignment="1">
      <alignment horizontal="right"/>
    </xf>
    <xf numFmtId="165" fontId="1" fillId="0" borderId="0" xfId="4" applyNumberFormat="1" applyFont="1" applyBorder="1"/>
    <xf numFmtId="10" fontId="1" fillId="0" borderId="5" xfId="4" applyNumberFormat="1" applyFont="1" applyBorder="1"/>
    <xf numFmtId="44" fontId="1" fillId="0" borderId="5" xfId="1" applyFont="1" applyBorder="1"/>
    <xf numFmtId="164" fontId="1" fillId="0" borderId="5" xfId="2" applyNumberFormat="1" applyFont="1" applyBorder="1"/>
    <xf numFmtId="164" fontId="1" fillId="0" borderId="5" xfId="2" quotePrefix="1" applyNumberFormat="1" applyBorder="1" applyAlignment="1">
      <alignment horizontal="center"/>
    </xf>
    <xf numFmtId="0" fontId="2" fillId="0" borderId="9" xfId="2" applyFont="1" applyBorder="1" applyAlignment="1">
      <alignment horizontal="center"/>
    </xf>
    <xf numFmtId="17" fontId="0" fillId="0" borderId="0" xfId="0" applyNumberFormat="1"/>
    <xf numFmtId="164" fontId="1" fillId="0" borderId="0" xfId="2" applyNumberFormat="1" applyBorder="1"/>
    <xf numFmtId="0" fontId="0" fillId="0" borderId="0" xfId="0" applyBorder="1"/>
    <xf numFmtId="164" fontId="1" fillId="0" borderId="13" xfId="2" applyNumberFormat="1" applyFill="1" applyBorder="1"/>
    <xf numFmtId="164" fontId="1" fillId="0" borderId="14" xfId="2" applyNumberFormat="1" applyBorder="1"/>
    <xf numFmtId="164" fontId="1" fillId="0" borderId="13" xfId="2" applyNumberFormat="1" applyBorder="1"/>
    <xf numFmtId="164" fontId="1" fillId="0" borderId="0" xfId="1" applyNumberFormat="1" applyFont="1"/>
    <xf numFmtId="166" fontId="0" fillId="0" borderId="5" xfId="0" applyNumberFormat="1" applyBorder="1"/>
    <xf numFmtId="166" fontId="4" fillId="0" borderId="5" xfId="0" applyNumberFormat="1" applyFont="1" applyBorder="1"/>
    <xf numFmtId="164" fontId="0" fillId="0" borderId="0" xfId="1" applyNumberFormat="1" applyFont="1"/>
    <xf numFmtId="0" fontId="0" fillId="0" borderId="0" xfId="0"/>
    <xf numFmtId="164" fontId="0" fillId="0" borderId="0" xfId="0" applyNumberFormat="1"/>
    <xf numFmtId="164" fontId="1" fillId="0" borderId="0" xfId="2" applyNumberFormat="1" applyFont="1" applyFill="1" applyBorder="1"/>
    <xf numFmtId="0" fontId="0" fillId="0" borderId="6" xfId="2" applyFont="1" applyBorder="1"/>
    <xf numFmtId="0" fontId="1" fillId="0" borderId="0" xfId="393"/>
    <xf numFmtId="165" fontId="1" fillId="0" borderId="0" xfId="393" applyNumberFormat="1"/>
    <xf numFmtId="9" fontId="1" fillId="0" borderId="0" xfId="393" applyNumberFormat="1"/>
    <xf numFmtId="164" fontId="1" fillId="0" borderId="0" xfId="3" applyNumberFormat="1" applyFont="1"/>
    <xf numFmtId="164" fontId="2" fillId="0" borderId="17" xfId="2" applyNumberFormat="1" applyFont="1" applyBorder="1"/>
    <xf numFmtId="0" fontId="1" fillId="0" borderId="5" xfId="2" applyFill="1" applyBorder="1" applyAlignment="1">
      <alignment horizontal="center"/>
    </xf>
    <xf numFmtId="0" fontId="1" fillId="0" borderId="5" xfId="2" applyFill="1" applyBorder="1"/>
    <xf numFmtId="164" fontId="1" fillId="4" borderId="5" xfId="2" applyNumberFormat="1" applyFill="1" applyBorder="1"/>
    <xf numFmtId="164" fontId="2" fillId="0" borderId="5" xfId="2" applyNumberFormat="1" applyFont="1" applyFill="1" applyBorder="1"/>
    <xf numFmtId="0" fontId="2" fillId="0" borderId="5" xfId="2" applyFont="1" applyFill="1" applyBorder="1" applyAlignment="1">
      <alignment horizontal="right"/>
    </xf>
    <xf numFmtId="164" fontId="2" fillId="0" borderId="7" xfId="2" applyNumberFormat="1" applyFont="1" applyFill="1" applyBorder="1"/>
    <xf numFmtId="10" fontId="1" fillId="0" borderId="5" xfId="4" applyNumberFormat="1" applyFont="1" applyFill="1" applyBorder="1"/>
    <xf numFmtId="164" fontId="1" fillId="0" borderId="5" xfId="2" applyNumberFormat="1" applyFont="1" applyFill="1" applyBorder="1"/>
    <xf numFmtId="0" fontId="1" fillId="0" borderId="5" xfId="2" applyFont="1" applyFill="1" applyBorder="1" applyAlignment="1">
      <alignment horizontal="right"/>
    </xf>
    <xf numFmtId="0" fontId="1" fillId="0" borderId="9" xfId="2" applyFill="1" applyBorder="1" applyAlignment="1">
      <alignment horizontal="center"/>
    </xf>
    <xf numFmtId="0" fontId="1" fillId="0" borderId="9" xfId="2" applyFill="1" applyBorder="1"/>
    <xf numFmtId="17" fontId="0" fillId="0" borderId="18" xfId="0" applyNumberFormat="1" applyBorder="1"/>
    <xf numFmtId="164" fontId="1" fillId="0" borderId="1" xfId="3" applyNumberFormat="1" applyFont="1" applyFill="1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164" fontId="1" fillId="0" borderId="12" xfId="3" applyNumberFormat="1" applyFont="1" applyFill="1" applyBorder="1"/>
    <xf numFmtId="164" fontId="1" fillId="4" borderId="13" xfId="2" applyNumberFormat="1" applyFill="1" applyBorder="1"/>
    <xf numFmtId="164" fontId="2" fillId="0" borderId="20" xfId="2" applyNumberFormat="1" applyFont="1" applyFill="1" applyBorder="1"/>
    <xf numFmtId="0" fontId="1" fillId="0" borderId="13" xfId="2" applyFill="1" applyBorder="1"/>
    <xf numFmtId="10" fontId="1" fillId="0" borderId="13" xfId="4" applyNumberFormat="1" applyFont="1" applyFill="1" applyBorder="1"/>
    <xf numFmtId="164" fontId="1" fillId="0" borderId="13" xfId="2" applyNumberFormat="1" applyFont="1" applyFill="1" applyBorder="1"/>
    <xf numFmtId="164" fontId="1" fillId="0" borderId="4" xfId="3" applyNumberFormat="1" applyFont="1" applyFill="1" applyBorder="1"/>
    <xf numFmtId="164" fontId="1" fillId="0" borderId="0" xfId="2" applyNumberFormat="1" applyFill="1" applyBorder="1"/>
    <xf numFmtId="164" fontId="1" fillId="4" borderId="0" xfId="2" applyNumberFormat="1" applyFill="1" applyBorder="1"/>
    <xf numFmtId="164" fontId="2" fillId="0" borderId="16" xfId="2" applyNumberFormat="1" applyFont="1" applyFill="1" applyBorder="1"/>
    <xf numFmtId="10" fontId="1" fillId="0" borderId="0" xfId="4" applyNumberFormat="1" applyFont="1" applyFill="1" applyBorder="1"/>
    <xf numFmtId="0" fontId="0" fillId="0" borderId="5" xfId="2" applyFont="1" applyFill="1" applyBorder="1" applyAlignment="1">
      <alignment horizontal="center"/>
    </xf>
    <xf numFmtId="0" fontId="0" fillId="0" borderId="5" xfId="2" applyFont="1" applyFill="1" applyBorder="1"/>
    <xf numFmtId="0" fontId="2" fillId="2" borderId="0" xfId="2" applyFont="1" applyFill="1" applyBorder="1"/>
    <xf numFmtId="0" fontId="0" fillId="0" borderId="4" xfId="0" applyBorder="1"/>
    <xf numFmtId="0" fontId="0" fillId="0" borderId="12" xfId="0" applyBorder="1"/>
    <xf numFmtId="0" fontId="2" fillId="0" borderId="13" xfId="2" applyFont="1" applyBorder="1"/>
    <xf numFmtId="0" fontId="2" fillId="2" borderId="11" xfId="2" applyFont="1" applyFill="1" applyBorder="1"/>
    <xf numFmtId="0" fontId="2" fillId="0" borderId="11" xfId="2" applyFont="1" applyBorder="1" applyAlignment="1">
      <alignment horizontal="center"/>
    </xf>
    <xf numFmtId="0" fontId="2" fillId="0" borderId="19" xfId="2" applyFont="1" applyBorder="1"/>
    <xf numFmtId="0" fontId="12" fillId="2" borderId="4" xfId="0" applyFont="1" applyFill="1" applyBorder="1"/>
    <xf numFmtId="164" fontId="2" fillId="0" borderId="0" xfId="0" applyNumberFormat="1" applyFont="1" applyBorder="1"/>
    <xf numFmtId="164" fontId="2" fillId="0" borderId="21" xfId="2" applyNumberFormat="1" applyFont="1" applyFill="1" applyBorder="1"/>
    <xf numFmtId="0" fontId="2" fillId="0" borderId="6" xfId="2" applyFont="1" applyFill="1" applyBorder="1"/>
    <xf numFmtId="10" fontId="2" fillId="0" borderId="6" xfId="4" applyNumberFormat="1" applyFont="1" applyFill="1" applyBorder="1"/>
    <xf numFmtId="0" fontId="1" fillId="0" borderId="10" xfId="2" applyFill="1" applyBorder="1"/>
    <xf numFmtId="17" fontId="0" fillId="0" borderId="22" xfId="0" applyNumberFormat="1" applyBorder="1"/>
    <xf numFmtId="164" fontId="2" fillId="0" borderId="13" xfId="2" applyNumberFormat="1" applyFont="1" applyFill="1" applyBorder="1"/>
    <xf numFmtId="164" fontId="2" fillId="0" borderId="23" xfId="2" applyNumberFormat="1" applyFont="1" applyFill="1" applyBorder="1"/>
    <xf numFmtId="164" fontId="2" fillId="0" borderId="0" xfId="2" applyNumberFormat="1" applyFont="1" applyFill="1" applyBorder="1"/>
    <xf numFmtId="164" fontId="2" fillId="0" borderId="15" xfId="2" applyNumberFormat="1" applyFont="1" applyFill="1" applyBorder="1"/>
    <xf numFmtId="10" fontId="0" fillId="0" borderId="5" xfId="4" applyNumberFormat="1" applyFont="1" applyFill="1" applyBorder="1"/>
    <xf numFmtId="164" fontId="0" fillId="0" borderId="5" xfId="2" applyNumberFormat="1" applyFont="1" applyBorder="1"/>
    <xf numFmtId="164" fontId="1" fillId="0" borderId="5" xfId="2" applyNumberFormat="1" applyFill="1" applyBorder="1"/>
    <xf numFmtId="43" fontId="4" fillId="0" borderId="0" xfId="5" applyFont="1" applyFill="1"/>
    <xf numFmtId="166" fontId="4" fillId="0" borderId="5" xfId="0" applyNumberFormat="1" applyFont="1" applyFill="1" applyBorder="1"/>
    <xf numFmtId="166" fontId="0" fillId="0" borderId="5" xfId="0" applyNumberFormat="1" applyFill="1" applyBorder="1"/>
    <xf numFmtId="0" fontId="0" fillId="0" borderId="0" xfId="0" applyFill="1"/>
    <xf numFmtId="164" fontId="1" fillId="0" borderId="1" xfId="3" applyNumberFormat="1" applyFont="1" applyBorder="1"/>
    <xf numFmtId="164" fontId="1" fillId="0" borderId="17" xfId="3" applyNumberFormat="1" applyFont="1" applyBorder="1"/>
    <xf numFmtId="164" fontId="1" fillId="0" borderId="0" xfId="3" applyNumberFormat="1" applyFont="1" applyBorder="1"/>
    <xf numFmtId="164" fontId="2" fillId="0" borderId="16" xfId="2" applyNumberFormat="1" applyFont="1" applyBorder="1"/>
    <xf numFmtId="164" fontId="1" fillId="0" borderId="25" xfId="2" applyNumberFormat="1" applyBorder="1"/>
    <xf numFmtId="164" fontId="2" fillId="0" borderId="20" xfId="2" applyNumberFormat="1" applyFont="1" applyBorder="1"/>
    <xf numFmtId="44" fontId="1" fillId="0" borderId="0" xfId="1" applyFont="1" applyBorder="1"/>
    <xf numFmtId="164" fontId="1" fillId="0" borderId="0" xfId="2" applyNumberFormat="1" applyFont="1" applyBorder="1"/>
    <xf numFmtId="164" fontId="1" fillId="0" borderId="0" xfId="2" quotePrefix="1" applyNumberFormat="1" applyBorder="1" applyAlignment="1">
      <alignment horizontal="center"/>
    </xf>
    <xf numFmtId="164" fontId="2" fillId="0" borderId="27" xfId="2" applyNumberFormat="1" applyFont="1" applyBorder="1"/>
    <xf numFmtId="43" fontId="4" fillId="0" borderId="5" xfId="5" applyFont="1" applyFill="1" applyBorder="1"/>
    <xf numFmtId="17" fontId="0" fillId="0" borderId="29" xfId="0" applyNumberFormat="1" applyBorder="1"/>
    <xf numFmtId="0" fontId="1" fillId="0" borderId="13" xfId="2" applyBorder="1"/>
    <xf numFmtId="44" fontId="1" fillId="0" borderId="13" xfId="1" applyFont="1" applyBorder="1"/>
    <xf numFmtId="164" fontId="1" fillId="0" borderId="13" xfId="2" applyNumberFormat="1" applyFont="1" applyBorder="1"/>
    <xf numFmtId="164" fontId="1" fillId="0" borderId="13" xfId="2" quotePrefix="1" applyNumberFormat="1" applyBorder="1" applyAlignment="1">
      <alignment horizontal="center"/>
    </xf>
    <xf numFmtId="17" fontId="0" fillId="0" borderId="26" xfId="0" applyNumberFormat="1" applyBorder="1"/>
    <xf numFmtId="17" fontId="0" fillId="0" borderId="31" xfId="0" applyNumberFormat="1" applyBorder="1"/>
    <xf numFmtId="164" fontId="1" fillId="0" borderId="27" xfId="3" applyNumberFormat="1" applyFont="1" applyBorder="1"/>
    <xf numFmtId="164" fontId="2" fillId="0" borderId="32" xfId="2" applyNumberFormat="1" applyFont="1" applyBorder="1"/>
    <xf numFmtId="0" fontId="4" fillId="0" borderId="0" xfId="398" applyAlignment="1">
      <alignment horizontal="center"/>
    </xf>
    <xf numFmtId="0" fontId="4" fillId="0" borderId="0" xfId="398"/>
    <xf numFmtId="49" fontId="4" fillId="0" borderId="0" xfId="398" applyNumberFormat="1" applyAlignment="1">
      <alignment horizontal="left"/>
    </xf>
    <xf numFmtId="0" fontId="4" fillId="0" borderId="0" xfId="398" applyFont="1"/>
    <xf numFmtId="0" fontId="4" fillId="0" borderId="0" xfId="398" applyBorder="1" applyAlignment="1">
      <alignment horizontal="center"/>
    </xf>
    <xf numFmtId="0" fontId="4" fillId="0" borderId="0" xfId="398" applyBorder="1"/>
    <xf numFmtId="49" fontId="5" fillId="0" borderId="2" xfId="378" applyNumberFormat="1" applyBorder="1" applyAlignment="1">
      <alignment horizontal="center" wrapText="1"/>
    </xf>
    <xf numFmtId="49" fontId="5" fillId="6" borderId="4" xfId="378" applyNumberFormat="1" applyFill="1" applyBorder="1" applyAlignment="1">
      <alignment wrapText="1"/>
    </xf>
    <xf numFmtId="49" fontId="5" fillId="0" borderId="33" xfId="378" applyNumberFormat="1" applyBorder="1" applyAlignment="1">
      <alignment horizontal="center" wrapText="1"/>
    </xf>
    <xf numFmtId="49" fontId="5" fillId="6" borderId="28" xfId="378" applyNumberFormat="1" applyFill="1" applyBorder="1" applyAlignment="1">
      <alignment wrapText="1"/>
    </xf>
    <xf numFmtId="49" fontId="5" fillId="0" borderId="28" xfId="378" applyNumberFormat="1" applyBorder="1" applyAlignment="1">
      <alignment horizontal="center" wrapText="1"/>
    </xf>
    <xf numFmtId="49" fontId="5" fillId="0" borderId="2" xfId="378" applyNumberFormat="1" applyFill="1" applyBorder="1" applyAlignment="1">
      <alignment wrapText="1"/>
    </xf>
    <xf numFmtId="0" fontId="5" fillId="6" borderId="28" xfId="378" applyFill="1" applyBorder="1"/>
    <xf numFmtId="0" fontId="5" fillId="0" borderId="28" xfId="378" applyBorder="1" applyAlignment="1">
      <alignment horizontal="center"/>
    </xf>
    <xf numFmtId="0" fontId="5" fillId="6" borderId="28" xfId="378" applyFill="1" applyBorder="1" applyAlignment="1">
      <alignment horizontal="center"/>
    </xf>
    <xf numFmtId="0" fontId="5" fillId="0" borderId="28" xfId="378" applyBorder="1"/>
    <xf numFmtId="49" fontId="5" fillId="0" borderId="24" xfId="378" applyNumberFormat="1" applyBorder="1" applyAlignment="1">
      <alignment horizontal="center" wrapText="1"/>
    </xf>
    <xf numFmtId="49" fontId="4" fillId="0" borderId="0" xfId="398" applyNumberFormat="1" applyBorder="1" applyAlignment="1">
      <alignment horizontal="center" wrapText="1"/>
    </xf>
    <xf numFmtId="49" fontId="5" fillId="0" borderId="6" xfId="378" applyNumberFormat="1" applyBorder="1" applyAlignment="1">
      <alignment horizontal="center" wrapText="1"/>
    </xf>
    <xf numFmtId="49" fontId="5" fillId="6" borderId="0" xfId="378" applyNumberFormat="1" applyFill="1" applyBorder="1" applyAlignment="1">
      <alignment wrapText="1"/>
    </xf>
    <xf numFmtId="49" fontId="5" fillId="0" borderId="0" xfId="378" applyNumberFormat="1" applyBorder="1" applyAlignment="1">
      <alignment horizontal="center" wrapText="1"/>
    </xf>
    <xf numFmtId="49" fontId="22" fillId="0" borderId="0" xfId="378" applyNumberFormat="1" applyFont="1" applyBorder="1" applyAlignment="1">
      <alignment horizontal="center" wrapText="1"/>
    </xf>
    <xf numFmtId="49" fontId="5" fillId="0" borderId="5" xfId="378" applyNumberFormat="1" applyFill="1" applyBorder="1" applyAlignment="1">
      <alignment wrapText="1"/>
    </xf>
    <xf numFmtId="0" fontId="5" fillId="6" borderId="0" xfId="378" applyFill="1" applyBorder="1"/>
    <xf numFmtId="0" fontId="5" fillId="0" borderId="0" xfId="378" applyBorder="1" applyAlignment="1">
      <alignment horizontal="center"/>
    </xf>
    <xf numFmtId="0" fontId="5" fillId="6" borderId="0" xfId="378" applyFill="1" applyBorder="1" applyAlignment="1">
      <alignment horizontal="center"/>
    </xf>
    <xf numFmtId="0" fontId="5" fillId="0" borderId="0" xfId="378" applyBorder="1"/>
    <xf numFmtId="49" fontId="5" fillId="0" borderId="13" xfId="378" applyNumberFormat="1" applyBorder="1" applyAlignment="1">
      <alignment horizontal="center" wrapText="1"/>
    </xf>
    <xf numFmtId="0" fontId="5" fillId="0" borderId="1" xfId="378" applyBorder="1" applyAlignment="1">
      <alignment horizontal="center"/>
    </xf>
    <xf numFmtId="0" fontId="5" fillId="6" borderId="4" xfId="378" applyFill="1" applyBorder="1"/>
    <xf numFmtId="0" fontId="5" fillId="0" borderId="4" xfId="378" applyBorder="1"/>
    <xf numFmtId="0" fontId="5" fillId="0" borderId="1" xfId="378" applyFill="1" applyBorder="1"/>
    <xf numFmtId="0" fontId="5" fillId="0" borderId="12" xfId="378" applyBorder="1"/>
    <xf numFmtId="0" fontId="0" fillId="0" borderId="5" xfId="378" applyFont="1" applyBorder="1" applyAlignment="1">
      <alignment horizontal="center"/>
    </xf>
    <xf numFmtId="5" fontId="11" fillId="0" borderId="0" xfId="378" applyNumberFormat="1" applyFont="1" applyBorder="1"/>
    <xf numFmtId="10" fontId="5" fillId="0" borderId="0" xfId="378" applyNumberFormat="1" applyBorder="1"/>
    <xf numFmtId="10" fontId="11" fillId="0" borderId="0" xfId="378" applyNumberFormat="1" applyFont="1" applyBorder="1"/>
    <xf numFmtId="0" fontId="5" fillId="0" borderId="5" xfId="378" applyFill="1" applyBorder="1"/>
    <xf numFmtId="169" fontId="5" fillId="0" borderId="0" xfId="378" applyNumberFormat="1" applyBorder="1" applyAlignment="1">
      <alignment horizontal="center"/>
    </xf>
    <xf numFmtId="0" fontId="0" fillId="0" borderId="0" xfId="378" applyFont="1" applyBorder="1"/>
    <xf numFmtId="165" fontId="5" fillId="0" borderId="13" xfId="378" applyNumberFormat="1" applyBorder="1"/>
    <xf numFmtId="10" fontId="4" fillId="0" borderId="0" xfId="398" applyNumberFormat="1" applyBorder="1"/>
    <xf numFmtId="49" fontId="5" fillId="0" borderId="0" xfId="378" applyNumberFormat="1" applyFill="1" applyBorder="1" applyAlignment="1">
      <alignment wrapText="1"/>
    </xf>
    <xf numFmtId="10" fontId="22" fillId="0" borderId="0" xfId="378" applyNumberFormat="1" applyFont="1" applyBorder="1"/>
    <xf numFmtId="0" fontId="4" fillId="0" borderId="5" xfId="378" applyFont="1" applyBorder="1" applyAlignment="1">
      <alignment horizontal="center"/>
    </xf>
    <xf numFmtId="169" fontId="22" fillId="0" borderId="0" xfId="378" applyNumberFormat="1" applyFont="1" applyBorder="1" applyAlignment="1">
      <alignment horizontal="center"/>
    </xf>
    <xf numFmtId="0" fontId="0" fillId="0" borderId="0" xfId="378" applyFont="1" applyBorder="1" applyAlignment="1">
      <alignment horizontal="center"/>
    </xf>
    <xf numFmtId="167" fontId="5" fillId="0" borderId="0" xfId="378" applyNumberFormat="1" applyBorder="1"/>
    <xf numFmtId="167" fontId="23" fillId="0" borderId="0" xfId="378" applyNumberFormat="1" applyFont="1" applyBorder="1"/>
    <xf numFmtId="170" fontId="5" fillId="0" borderId="13" xfId="378" applyNumberFormat="1" applyBorder="1"/>
    <xf numFmtId="170" fontId="4" fillId="0" borderId="0" xfId="398" applyNumberFormat="1" applyBorder="1"/>
    <xf numFmtId="5" fontId="21" fillId="0" borderId="0" xfId="378" applyNumberFormat="1" applyFont="1" applyBorder="1"/>
    <xf numFmtId="10" fontId="13" fillId="0" borderId="0" xfId="378" applyNumberFormat="1" applyFont="1" applyBorder="1"/>
    <xf numFmtId="165" fontId="13" fillId="0" borderId="13" xfId="378" applyNumberFormat="1" applyFont="1" applyBorder="1" applyAlignment="1">
      <alignment horizontal="right" wrapText="1"/>
    </xf>
    <xf numFmtId="10" fontId="13" fillId="0" borderId="0" xfId="398" applyNumberFormat="1" applyFont="1" applyBorder="1" applyAlignment="1">
      <alignment horizontal="center" wrapText="1"/>
    </xf>
    <xf numFmtId="0" fontId="5" fillId="0" borderId="13" xfId="378" applyBorder="1"/>
    <xf numFmtId="0" fontId="0" fillId="0" borderId="9" xfId="378" applyFont="1" applyBorder="1" applyAlignment="1">
      <alignment horizontal="center"/>
    </xf>
    <xf numFmtId="0" fontId="5" fillId="6" borderId="11" xfId="378" applyFill="1" applyBorder="1"/>
    <xf numFmtId="0" fontId="5" fillId="0" borderId="11" xfId="378" applyBorder="1"/>
    <xf numFmtId="0" fontId="5" fillId="0" borderId="9" xfId="378" applyFill="1" applyBorder="1"/>
    <xf numFmtId="0" fontId="5" fillId="0" borderId="19" xfId="378" applyBorder="1"/>
    <xf numFmtId="0" fontId="4" fillId="0" borderId="6" xfId="398" applyBorder="1" applyAlignment="1">
      <alignment horizontal="center"/>
    </xf>
    <xf numFmtId="0" fontId="4" fillId="6" borderId="0" xfId="398" applyFill="1" applyBorder="1"/>
    <xf numFmtId="0" fontId="4" fillId="6" borderId="0" xfId="398" applyFill="1" applyBorder="1" applyAlignment="1">
      <alignment horizontal="center"/>
    </xf>
    <xf numFmtId="0" fontId="4" fillId="0" borderId="13" xfId="398" applyBorder="1"/>
    <xf numFmtId="0" fontId="4" fillId="0" borderId="0" xfId="398" applyFill="1" applyBorder="1" applyAlignment="1">
      <alignment horizontal="center"/>
    </xf>
    <xf numFmtId="0" fontId="4" fillId="0" borderId="0" xfId="398" applyFill="1" applyBorder="1"/>
    <xf numFmtId="0" fontId="4" fillId="0" borderId="0" xfId="398" applyFill="1"/>
    <xf numFmtId="0" fontId="14" fillId="0" borderId="0" xfId="398" applyFont="1" applyFill="1" applyBorder="1" applyAlignment="1">
      <alignment horizontal="center"/>
    </xf>
    <xf numFmtId="171" fontId="5" fillId="0" borderId="0" xfId="108" applyNumberFormat="1" applyFont="1" applyBorder="1"/>
    <xf numFmtId="171" fontId="5" fillId="0" borderId="0" xfId="108" applyNumberFormat="1" applyFont="1" applyBorder="1" applyAlignment="1">
      <alignment horizontal="right"/>
    </xf>
    <xf numFmtId="0" fontId="5" fillId="0" borderId="0" xfId="378"/>
    <xf numFmtId="171" fontId="5" fillId="0" borderId="0" xfId="108" applyNumberFormat="1" applyFont="1" applyAlignment="1">
      <alignment horizontal="right"/>
    </xf>
    <xf numFmtId="0" fontId="0" fillId="0" borderId="0" xfId="378" applyFont="1"/>
    <xf numFmtId="172" fontId="5" fillId="0" borderId="0" xfId="378" applyNumberFormat="1"/>
    <xf numFmtId="0" fontId="4" fillId="0" borderId="0" xfId="378" applyFont="1"/>
    <xf numFmtId="0" fontId="4" fillId="0" borderId="0" xfId="398" applyFont="1" applyAlignment="1">
      <alignment horizontal="center"/>
    </xf>
    <xf numFmtId="0" fontId="5" fillId="0" borderId="0" xfId="378" applyAlignment="1">
      <alignment horizontal="center"/>
    </xf>
    <xf numFmtId="171" fontId="5" fillId="0" borderId="0" xfId="108" applyNumberFormat="1" applyFont="1" applyAlignment="1">
      <alignment horizontal="right" vertical="center"/>
    </xf>
    <xf numFmtId="0" fontId="5" fillId="0" borderId="0" xfId="378" applyAlignment="1">
      <alignment horizontal="right"/>
    </xf>
    <xf numFmtId="173" fontId="5" fillId="0" borderId="0" xfId="378" applyNumberFormat="1"/>
    <xf numFmtId="172" fontId="5" fillId="0" borderId="0" xfId="378" applyNumberFormat="1" applyAlignment="1">
      <alignment horizontal="right"/>
    </xf>
    <xf numFmtId="0" fontId="4" fillId="0" borderId="0" xfId="378" applyFont="1" applyAlignment="1">
      <alignment horizontal="center"/>
    </xf>
    <xf numFmtId="0" fontId="4" fillId="0" borderId="0" xfId="378" applyFont="1" applyAlignment="1">
      <alignment horizontal="right"/>
    </xf>
    <xf numFmtId="0" fontId="13" fillId="0" borderId="0" xfId="378" applyFont="1" applyFill="1" applyBorder="1" applyAlignment="1">
      <alignment horizontal="center"/>
    </xf>
    <xf numFmtId="37" fontId="4" fillId="0" borderId="0" xfId="378" applyNumberFormat="1" applyFont="1" applyFill="1" applyBorder="1" applyAlignment="1">
      <alignment horizontal="center"/>
    </xf>
    <xf numFmtId="0" fontId="4" fillId="0" borderId="0" xfId="378" applyFont="1" applyFill="1" applyBorder="1"/>
    <xf numFmtId="0" fontId="5" fillId="0" borderId="0" xfId="378" applyFill="1" applyBorder="1"/>
    <xf numFmtId="10" fontId="5" fillId="0" borderId="0" xfId="378" applyNumberFormat="1" applyFill="1" applyBorder="1"/>
    <xf numFmtId="0" fontId="5" fillId="0" borderId="0" xfId="378" applyFill="1" applyBorder="1" applyAlignment="1">
      <alignment horizontal="center"/>
    </xf>
    <xf numFmtId="0" fontId="5" fillId="0" borderId="0" xfId="378" applyFill="1"/>
    <xf numFmtId="49" fontId="4" fillId="0" borderId="0" xfId="378" applyNumberFormat="1" applyFont="1" applyFill="1" applyBorder="1" applyAlignment="1">
      <alignment horizontal="center" wrapText="1"/>
    </xf>
    <xf numFmtId="37" fontId="5" fillId="0" borderId="0" xfId="378" applyNumberFormat="1" applyFill="1" applyBorder="1" applyAlignment="1">
      <alignment horizontal="center"/>
    </xf>
    <xf numFmtId="0" fontId="1" fillId="0" borderId="19" xfId="2" applyFill="1" applyBorder="1"/>
    <xf numFmtId="0" fontId="1" fillId="0" borderId="11" xfId="2" applyFill="1" applyBorder="1"/>
    <xf numFmtId="40" fontId="4" fillId="0" borderId="0" xfId="0" applyNumberFormat="1" applyFont="1" applyFill="1" applyAlignment="1">
      <alignment horizontal="left" indent="1"/>
    </xf>
    <xf numFmtId="40" fontId="4" fillId="0" borderId="0" xfId="0" applyNumberFormat="1" applyFont="1" applyFill="1" applyAlignment="1">
      <alignment horizontal="left" indent="6"/>
    </xf>
    <xf numFmtId="164" fontId="0" fillId="0" borderId="0" xfId="0" applyNumberFormat="1" applyFill="1"/>
    <xf numFmtId="168" fontId="4" fillId="0" borderId="5" xfId="5" applyNumberFormat="1" applyFont="1" applyFill="1" applyBorder="1"/>
    <xf numFmtId="168" fontId="4" fillId="0" borderId="0" xfId="5" applyNumberFormat="1" applyFont="1" applyFill="1" applyBorder="1"/>
    <xf numFmtId="0" fontId="0" fillId="5" borderId="6" xfId="2" applyFont="1" applyFill="1" applyBorder="1"/>
    <xf numFmtId="0" fontId="1" fillId="5" borderId="0" xfId="2" applyFill="1" applyBorder="1"/>
    <xf numFmtId="164" fontId="1" fillId="5" borderId="5" xfId="3" applyNumberFormat="1" applyFont="1" applyFill="1" applyBorder="1"/>
    <xf numFmtId="164" fontId="1" fillId="5" borderId="0" xfId="3" applyNumberFormat="1" applyFont="1" applyFill="1" applyBorder="1"/>
    <xf numFmtId="0" fontId="0" fillId="5" borderId="5" xfId="2" applyFont="1" applyFill="1" applyBorder="1" applyAlignment="1">
      <alignment horizontal="center"/>
    </xf>
    <xf numFmtId="0" fontId="1" fillId="5" borderId="0" xfId="2" applyFill="1"/>
    <xf numFmtId="0" fontId="0" fillId="5" borderId="5" xfId="2" applyFont="1" applyFill="1" applyBorder="1"/>
    <xf numFmtId="0" fontId="1" fillId="5" borderId="6" xfId="2" applyFill="1" applyBorder="1"/>
    <xf numFmtId="164" fontId="1" fillId="5" borderId="13" xfId="3" applyNumberFormat="1" applyFont="1" applyFill="1" applyBorder="1"/>
    <xf numFmtId="0" fontId="1" fillId="5" borderId="5" xfId="2" applyFill="1" applyBorder="1" applyAlignment="1">
      <alignment horizontal="center"/>
    </xf>
    <xf numFmtId="0" fontId="1" fillId="5" borderId="5" xfId="2" applyFill="1" applyBorder="1"/>
    <xf numFmtId="164" fontId="1" fillId="5" borderId="5" xfId="2" applyNumberFormat="1" applyFill="1" applyBorder="1"/>
    <xf numFmtId="164" fontId="1" fillId="5" borderId="0" xfId="2" applyNumberFormat="1" applyFill="1" applyBorder="1"/>
    <xf numFmtId="0" fontId="2" fillId="5" borderId="5" xfId="2" applyFont="1" applyFill="1" applyBorder="1" applyAlignment="1">
      <alignment horizontal="right"/>
    </xf>
    <xf numFmtId="9" fontId="2" fillId="5" borderId="6" xfId="2" applyNumberFormat="1" applyFont="1" applyFill="1" applyBorder="1"/>
    <xf numFmtId="164" fontId="2" fillId="5" borderId="5" xfId="2" applyNumberFormat="1" applyFont="1" applyFill="1" applyBorder="1"/>
    <xf numFmtId="164" fontId="2" fillId="5" borderId="0" xfId="2" applyNumberFormat="1" applyFont="1" applyFill="1" applyBorder="1"/>
    <xf numFmtId="164" fontId="2" fillId="5" borderId="13" xfId="2" applyNumberFormat="1" applyFont="1" applyFill="1" applyBorder="1"/>
    <xf numFmtId="164" fontId="1" fillId="0" borderId="5" xfId="4" applyNumberFormat="1" applyFont="1" applyBorder="1"/>
    <xf numFmtId="164" fontId="1" fillId="5" borderId="5" xfId="1" applyNumberFormat="1" applyFont="1" applyFill="1" applyBorder="1"/>
    <xf numFmtId="0" fontId="0" fillId="7" borderId="6" xfId="2" applyFont="1" applyFill="1" applyBorder="1"/>
    <xf numFmtId="0" fontId="1" fillId="7" borderId="0" xfId="2" applyFill="1" applyBorder="1"/>
    <xf numFmtId="164" fontId="1" fillId="7" borderId="5" xfId="2" applyNumberFormat="1" applyFill="1" applyBorder="1"/>
    <xf numFmtId="164" fontId="1" fillId="7" borderId="0" xfId="2" applyNumberFormat="1" applyFill="1" applyBorder="1"/>
    <xf numFmtId="164" fontId="0" fillId="7" borderId="5" xfId="2" applyNumberFormat="1" applyFont="1" applyFill="1" applyBorder="1"/>
    <xf numFmtId="17" fontId="0" fillId="0" borderId="34" xfId="0" applyNumberFormat="1" applyBorder="1"/>
    <xf numFmtId="17" fontId="0" fillId="0" borderId="30" xfId="0" applyNumberFormat="1" applyBorder="1"/>
    <xf numFmtId="164" fontId="1" fillId="0" borderId="35" xfId="3" applyNumberFormat="1" applyFont="1" applyBorder="1"/>
    <xf numFmtId="43" fontId="4" fillId="0" borderId="13" xfId="5" applyFont="1" applyFill="1" applyBorder="1"/>
    <xf numFmtId="168" fontId="4" fillId="0" borderId="13" xfId="5" applyNumberFormat="1" applyFont="1" applyFill="1" applyBorder="1"/>
    <xf numFmtId="164" fontId="1" fillId="7" borderId="13" xfId="2" applyNumberFormat="1" applyFill="1" applyBorder="1"/>
    <xf numFmtId="164" fontId="2" fillId="0" borderId="35" xfId="2" applyNumberFormat="1" applyFont="1" applyBorder="1"/>
    <xf numFmtId="0" fontId="2" fillId="0" borderId="0" xfId="0" applyFont="1"/>
    <xf numFmtId="164" fontId="2" fillId="0" borderId="1" xfId="2" applyNumberFormat="1" applyFont="1" applyBorder="1"/>
    <xf numFmtId="164" fontId="2" fillId="0" borderId="4" xfId="2" applyNumberFormat="1" applyFont="1" applyBorder="1"/>
    <xf numFmtId="164" fontId="2" fillId="0" borderId="12" xfId="2" applyNumberFormat="1" applyFont="1" applyBorder="1"/>
    <xf numFmtId="0" fontId="2" fillId="0" borderId="33" xfId="2" applyFont="1" applyBorder="1" applyAlignment="1">
      <alignment horizontal="right"/>
    </xf>
    <xf numFmtId="0" fontId="0" fillId="0" borderId="28" xfId="0" applyBorder="1"/>
    <xf numFmtId="164" fontId="1" fillId="0" borderId="33" xfId="1" applyNumberFormat="1" applyFont="1" applyBorder="1"/>
    <xf numFmtId="164" fontId="1" fillId="0" borderId="28" xfId="1" applyNumberFormat="1" applyFont="1" applyBorder="1"/>
    <xf numFmtId="164" fontId="1" fillId="0" borderId="24" xfId="1" applyNumberFormat="1" applyFont="1" applyBorder="1"/>
    <xf numFmtId="0" fontId="1" fillId="5" borderId="33" xfId="2" applyFont="1" applyFill="1" applyBorder="1" applyAlignment="1">
      <alignment horizontal="right"/>
    </xf>
    <xf numFmtId="0" fontId="0" fillId="5" borderId="28" xfId="0" applyFill="1" applyBorder="1"/>
    <xf numFmtId="164" fontId="0" fillId="5" borderId="33" xfId="1" applyNumberFormat="1" applyFont="1" applyFill="1" applyBorder="1"/>
    <xf numFmtId="164" fontId="0" fillId="5" borderId="28" xfId="1" applyNumberFormat="1" applyFont="1" applyFill="1" applyBorder="1"/>
    <xf numFmtId="164" fontId="0" fillId="5" borderId="24" xfId="1" applyNumberFormat="1" applyFont="1" applyFill="1" applyBorder="1"/>
    <xf numFmtId="0" fontId="2" fillId="0" borderId="33" xfId="2" applyFont="1" applyBorder="1" applyAlignment="1">
      <alignment horizontal="right" wrapText="1"/>
    </xf>
    <xf numFmtId="0" fontId="2" fillId="0" borderId="28" xfId="0" applyFont="1" applyBorder="1"/>
    <xf numFmtId="164" fontId="6" fillId="0" borderId="33" xfId="365" applyNumberFormat="1" applyFont="1" applyBorder="1"/>
    <xf numFmtId="164" fontId="6" fillId="0" borderId="28" xfId="365" applyNumberFormat="1" applyFont="1" applyBorder="1"/>
    <xf numFmtId="164" fontId="6" fillId="0" borderId="24" xfId="365" applyNumberFormat="1" applyFont="1" applyBorder="1"/>
    <xf numFmtId="0" fontId="2" fillId="0" borderId="1" xfId="2" applyFont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</cellXfs>
  <cellStyles count="831">
    <cellStyle name="Comma 10" xfId="5"/>
    <cellStyle name="Comma 10 2" xfId="6"/>
    <cellStyle name="Comma 10 3" xfId="7"/>
    <cellStyle name="Comma 10 3 2" xfId="8"/>
    <cellStyle name="Comma 10 3 3" xfId="9"/>
    <cellStyle name="Comma 10 4" xfId="10"/>
    <cellStyle name="Comma 10 4 2" xfId="11"/>
    <cellStyle name="Comma 10 4 3" xfId="12"/>
    <cellStyle name="Comma 10 4 4" xfId="13"/>
    <cellStyle name="Comma 10 5" xfId="14"/>
    <cellStyle name="Comma 10 5 2" xfId="15"/>
    <cellStyle name="Comma 10 5 2 2" xfId="16"/>
    <cellStyle name="Comma 10 5 2 3" xfId="17"/>
    <cellStyle name="Comma 10 5 2 3 2" xfId="18"/>
    <cellStyle name="Comma 10 5 3" xfId="19"/>
    <cellStyle name="Comma 10 6" xfId="20"/>
    <cellStyle name="Comma 10 6 2" xfId="21"/>
    <cellStyle name="Comma 10 6 3" xfId="22"/>
    <cellStyle name="Comma 10 6 3 2" xfId="23"/>
    <cellStyle name="Comma 10 7" xfId="24"/>
    <cellStyle name="Comma 10 8" xfId="25"/>
    <cellStyle name="Comma 10 8 2" xfId="26"/>
    <cellStyle name="Comma 11" xfId="27"/>
    <cellStyle name="Comma 11 10" xfId="28"/>
    <cellStyle name="Comma 11 11" xfId="29"/>
    <cellStyle name="Comma 11 11 2" xfId="30"/>
    <cellStyle name="Comma 11 11 2 2" xfId="31"/>
    <cellStyle name="Comma 11 11 2 3" xfId="32"/>
    <cellStyle name="Comma 11 11 2 3 2" xfId="33"/>
    <cellStyle name="Comma 11 12" xfId="34"/>
    <cellStyle name="Comma 11 13" xfId="35"/>
    <cellStyle name="Comma 11 13 2" xfId="36"/>
    <cellStyle name="Comma 11 13 2 2" xfId="37"/>
    <cellStyle name="Comma 11 13 2 3" xfId="38"/>
    <cellStyle name="Comma 11 13 2 3 2" xfId="39"/>
    <cellStyle name="Comma 11 2" xfId="40"/>
    <cellStyle name="Comma 11 3" xfId="41"/>
    <cellStyle name="Comma 11 4" xfId="42"/>
    <cellStyle name="Comma 11 5" xfId="43"/>
    <cellStyle name="Comma 11 6" xfId="44"/>
    <cellStyle name="Comma 11 7" xfId="45"/>
    <cellStyle name="Comma 11 7 2" xfId="46"/>
    <cellStyle name="Comma 11 7 2 2" xfId="47"/>
    <cellStyle name="Comma 11 7 2 3" xfId="48"/>
    <cellStyle name="Comma 11 8" xfId="49"/>
    <cellStyle name="Comma 11 9" xfId="50"/>
    <cellStyle name="Comma 12" xfId="51"/>
    <cellStyle name="Comma 12 10" xfId="52"/>
    <cellStyle name="Comma 12 10 2" xfId="53"/>
    <cellStyle name="Comma 12 10 2 2" xfId="54"/>
    <cellStyle name="Comma 12 10 2 3" xfId="55"/>
    <cellStyle name="Comma 12 10 2 3 2" xfId="56"/>
    <cellStyle name="Comma 12 11" xfId="57"/>
    <cellStyle name="Comma 12 12" xfId="58"/>
    <cellStyle name="Comma 12 12 2" xfId="59"/>
    <cellStyle name="Comma 12 12 2 2" xfId="60"/>
    <cellStyle name="Comma 12 12 2 3" xfId="61"/>
    <cellStyle name="Comma 12 12 2 3 2" xfId="62"/>
    <cellStyle name="Comma 12 2" xfId="63"/>
    <cellStyle name="Comma 12 3" xfId="64"/>
    <cellStyle name="Comma 12 4" xfId="65"/>
    <cellStyle name="Comma 12 5" xfId="66"/>
    <cellStyle name="Comma 12 6" xfId="67"/>
    <cellStyle name="Comma 12 6 2" xfId="68"/>
    <cellStyle name="Comma 12 6 2 2" xfId="69"/>
    <cellStyle name="Comma 12 6 2 3" xfId="70"/>
    <cellStyle name="Comma 12 7" xfId="71"/>
    <cellStyle name="Comma 12 8" xfId="72"/>
    <cellStyle name="Comma 12 9" xfId="73"/>
    <cellStyle name="Comma 13" xfId="74"/>
    <cellStyle name="Comma 13 2" xfId="75"/>
    <cellStyle name="Comma 13 3" xfId="76"/>
    <cellStyle name="Comma 13 4" xfId="77"/>
    <cellStyle name="Comma 13 5" xfId="78"/>
    <cellStyle name="Comma 13 6" xfId="79"/>
    <cellStyle name="Comma 14" xfId="80"/>
    <cellStyle name="Comma 14 2" xfId="81"/>
    <cellStyle name="Comma 14 3" xfId="82"/>
    <cellStyle name="Comma 14 4" xfId="83"/>
    <cellStyle name="Comma 14 5" xfId="84"/>
    <cellStyle name="Comma 15" xfId="85"/>
    <cellStyle name="Comma 15 2" xfId="86"/>
    <cellStyle name="Comma 15 3" xfId="87"/>
    <cellStyle name="Comma 15 4" xfId="88"/>
    <cellStyle name="Comma 15 5" xfId="89"/>
    <cellStyle name="Comma 16" xfId="90"/>
    <cellStyle name="Comma 16 2" xfId="91"/>
    <cellStyle name="Comma 16 3" xfId="92"/>
    <cellStyle name="Comma 16 3 2" xfId="93"/>
    <cellStyle name="Comma 16 3 3" xfId="94"/>
    <cellStyle name="Comma 16 3 3 2" xfId="95"/>
    <cellStyle name="Comma 17" xfId="96"/>
    <cellStyle name="Comma 17 2" xfId="97"/>
    <cellStyle name="Comma 17 3" xfId="98"/>
    <cellStyle name="Comma 17 3 2" xfId="99"/>
    <cellStyle name="Comma 18" xfId="100"/>
    <cellStyle name="Comma 18 2" xfId="101"/>
    <cellStyle name="Comma 18 3" xfId="102"/>
    <cellStyle name="Comma 18 3 2" xfId="103"/>
    <cellStyle name="Comma 19" xfId="104"/>
    <cellStyle name="Comma 19 2" xfId="105"/>
    <cellStyle name="Comma 19 3" xfId="106"/>
    <cellStyle name="Comma 19 3 2" xfId="107"/>
    <cellStyle name="Comma 2" xfId="108"/>
    <cellStyle name="Comma 2 2" xfId="109"/>
    <cellStyle name="Comma 2 2 2" xfId="110"/>
    <cellStyle name="Comma 2 2 3" xfId="111"/>
    <cellStyle name="Comma 2 2 4" xfId="112"/>
    <cellStyle name="Comma 2 2 5" xfId="113"/>
    <cellStyle name="Comma 2 2 6" xfId="114"/>
    <cellStyle name="Comma 2 2 6 2" xfId="115"/>
    <cellStyle name="Comma 2 2 7" xfId="116"/>
    <cellStyle name="Comma 2 3" xfId="117"/>
    <cellStyle name="Comma 2 3 2" xfId="118"/>
    <cellStyle name="Comma 2 3 3" xfId="119"/>
    <cellStyle name="Comma 2 3 4" xfId="120"/>
    <cellStyle name="Comma 2 3 4 2" xfId="121"/>
    <cellStyle name="Comma 2 3 4 2 2" xfId="122"/>
    <cellStyle name="Comma 2 3 4 3" xfId="123"/>
    <cellStyle name="Comma 2 3 4 4" xfId="124"/>
    <cellStyle name="Comma 2 3 4 5" xfId="125"/>
    <cellStyle name="Comma 2 3 4 5 2" xfId="126"/>
    <cellStyle name="Comma 2 3 5" xfId="127"/>
    <cellStyle name="Comma 2 4" xfId="128"/>
    <cellStyle name="Comma 2 5" xfId="129"/>
    <cellStyle name="Comma 20" xfId="130"/>
    <cellStyle name="Comma 20 2" xfId="131"/>
    <cellStyle name="Comma 20 3" xfId="132"/>
    <cellStyle name="Comma 20 3 2" xfId="133"/>
    <cellStyle name="Comma 21" xfId="134"/>
    <cellStyle name="Comma 21 2" xfId="135"/>
    <cellStyle name="Comma 21 3" xfId="136"/>
    <cellStyle name="Comma 21 3 2" xfId="137"/>
    <cellStyle name="Comma 22" xfId="138"/>
    <cellStyle name="Comma 22 2" xfId="139"/>
    <cellStyle name="Comma 22 3" xfId="140"/>
    <cellStyle name="Comma 22 3 2" xfId="141"/>
    <cellStyle name="Comma 23" xfId="142"/>
    <cellStyle name="Comma 23 2" xfId="143"/>
    <cellStyle name="Comma 23 3" xfId="144"/>
    <cellStyle name="Comma 23 3 2" xfId="145"/>
    <cellStyle name="Comma 24" xfId="146"/>
    <cellStyle name="Comma 24 2" xfId="147"/>
    <cellStyle name="Comma 24 3" xfId="148"/>
    <cellStyle name="Comma 24 3 2" xfId="149"/>
    <cellStyle name="Comma 25" xfId="150"/>
    <cellStyle name="Comma 25 2" xfId="151"/>
    <cellStyle name="Comma 25 3" xfId="152"/>
    <cellStyle name="Comma 25 3 2" xfId="153"/>
    <cellStyle name="Comma 26" xfId="154"/>
    <cellStyle name="Comma 26 2" xfId="155"/>
    <cellStyle name="Comma 26 3" xfId="156"/>
    <cellStyle name="Comma 26 3 2" xfId="157"/>
    <cellStyle name="Comma 27" xfId="158"/>
    <cellStyle name="Comma 27 2" xfId="159"/>
    <cellStyle name="Comma 27 3" xfId="160"/>
    <cellStyle name="Comma 27 3 2" xfId="161"/>
    <cellStyle name="Comma 28" xfId="162"/>
    <cellStyle name="Comma 28 2" xfId="163"/>
    <cellStyle name="Comma 29" xfId="164"/>
    <cellStyle name="Comma 29 2" xfId="165"/>
    <cellStyle name="Comma 3" xfId="166"/>
    <cellStyle name="Comma 3 2" xfId="167"/>
    <cellStyle name="Comma 3 3" xfId="168"/>
    <cellStyle name="Comma 3 3 2" xfId="169"/>
    <cellStyle name="Comma 3 3 2 2" xfId="170"/>
    <cellStyle name="Comma 3 3 3" xfId="171"/>
    <cellStyle name="Comma 3 4" xfId="172"/>
    <cellStyle name="Comma 3 5" xfId="173"/>
    <cellStyle name="Comma 3 5 2" xfId="174"/>
    <cellStyle name="Comma 3 6" xfId="175"/>
    <cellStyle name="Comma 30" xfId="176"/>
    <cellStyle name="Comma 31" xfId="177"/>
    <cellStyle name="Comma 31 2" xfId="178"/>
    <cellStyle name="Comma 31 3" xfId="179"/>
    <cellStyle name="Comma 31 3 2" xfId="180"/>
    <cellStyle name="Comma 32" xfId="181"/>
    <cellStyle name="Comma 32 2" xfId="182"/>
    <cellStyle name="Comma 32 2 2" xfId="183"/>
    <cellStyle name="Comma 32 3" xfId="184"/>
    <cellStyle name="Comma 32 4" xfId="185"/>
    <cellStyle name="Comma 32 4 2" xfId="186"/>
    <cellStyle name="Comma 33" xfId="187"/>
    <cellStyle name="Comma 33 2" xfId="188"/>
    <cellStyle name="Comma 33 3" xfId="189"/>
    <cellStyle name="Comma 33 3 2" xfId="190"/>
    <cellStyle name="Comma 34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 3" xfId="204"/>
    <cellStyle name="Comma 4 4" xfId="205"/>
    <cellStyle name="Comma 4 5" xfId="206"/>
    <cellStyle name="Comma 40" xfId="207"/>
    <cellStyle name="Comma 41" xfId="815"/>
    <cellStyle name="Comma 42" xfId="829"/>
    <cellStyle name="Comma 5" xfId="208"/>
    <cellStyle name="Comma 5 2" xfId="209"/>
    <cellStyle name="Comma 5 3" xfId="210"/>
    <cellStyle name="Comma 5 4" xfId="211"/>
    <cellStyle name="Comma 5 5" xfId="212"/>
    <cellStyle name="Comma 5 6" xfId="213"/>
    <cellStyle name="Comma 6" xfId="214"/>
    <cellStyle name="Comma 6 2" xfId="215"/>
    <cellStyle name="Comma 6 3" xfId="216"/>
    <cellStyle name="Comma 6 4" xfId="217"/>
    <cellStyle name="Comma 6 4 2" xfId="218"/>
    <cellStyle name="Comma 6 4 2 2" xfId="219"/>
    <cellStyle name="Comma 6 4 3" xfId="220"/>
    <cellStyle name="Comma 6 4 4" xfId="221"/>
    <cellStyle name="Comma 6 4 5" xfId="222"/>
    <cellStyle name="Comma 6 4 5 2" xfId="223"/>
    <cellStyle name="Comma 6 5" xfId="224"/>
    <cellStyle name="Comma 7" xfId="225"/>
    <cellStyle name="Comma 7 2" xfId="226"/>
    <cellStyle name="Comma 7 2 2" xfId="227"/>
    <cellStyle name="Comma 7 2 2 2" xfId="228"/>
    <cellStyle name="Comma 7 2 2 2 2" xfId="229"/>
    <cellStyle name="Comma 7 2 2 3" xfId="230"/>
    <cellStyle name="Comma 7 2 2 3 2" xfId="231"/>
    <cellStyle name="Comma 7 2 2 3 2 2" xfId="232"/>
    <cellStyle name="Comma 7 2 2 3 3" xfId="233"/>
    <cellStyle name="Comma 7 2 2 4" xfId="234"/>
    <cellStyle name="Comma 7 2 3" xfId="235"/>
    <cellStyle name="Comma 7 3" xfId="236"/>
    <cellStyle name="Comma 7 3 2" xfId="237"/>
    <cellStyle name="Comma 7 3 2 2" xfId="238"/>
    <cellStyle name="Comma 7 3 3" xfId="239"/>
    <cellStyle name="Comma 7 3 3 2" xfId="240"/>
    <cellStyle name="Comma 7 3 3 2 2" xfId="241"/>
    <cellStyle name="Comma 7 3 3 3" xfId="242"/>
    <cellStyle name="Comma 7 3 4" xfId="243"/>
    <cellStyle name="Comma 7 4" xfId="244"/>
    <cellStyle name="Comma 7 4 2" xfId="245"/>
    <cellStyle name="Comma 7 5" xfId="246"/>
    <cellStyle name="Comma 7 5 2" xfId="247"/>
    <cellStyle name="Comma 7 5 2 2" xfId="248"/>
    <cellStyle name="Comma 7 5 3" xfId="249"/>
    <cellStyle name="Comma 7 6" xfId="250"/>
    <cellStyle name="Comma 8" xfId="251"/>
    <cellStyle name="Comma 8 2" xfId="252"/>
    <cellStyle name="Comma 8 2 2" xfId="253"/>
    <cellStyle name="Comma 8 2 3" xfId="254"/>
    <cellStyle name="Comma 8 2 4" xfId="255"/>
    <cellStyle name="Comma 8 2 4 10" xfId="256"/>
    <cellStyle name="Comma 8 2 4 11" xfId="257"/>
    <cellStyle name="Comma 8 2 4 11 2" xfId="258"/>
    <cellStyle name="Comma 8 2 4 11 2 2" xfId="259"/>
    <cellStyle name="Comma 8 2 4 11 2 3" xfId="260"/>
    <cellStyle name="Comma 8 2 4 11 2 3 2" xfId="261"/>
    <cellStyle name="Comma 8 2 4 2" xfId="262"/>
    <cellStyle name="Comma 8 2 4 3" xfId="263"/>
    <cellStyle name="Comma 8 2 4 4" xfId="264"/>
    <cellStyle name="Comma 8 2 4 5" xfId="265"/>
    <cellStyle name="Comma 8 2 4 5 2" xfId="266"/>
    <cellStyle name="Comma 8 2 4 5 2 2" xfId="267"/>
    <cellStyle name="Comma 8 2 4 5 2 3" xfId="268"/>
    <cellStyle name="Comma 8 2 4 6" xfId="269"/>
    <cellStyle name="Comma 8 2 4 7" xfId="270"/>
    <cellStyle name="Comma 8 2 4 8" xfId="271"/>
    <cellStyle name="Comma 8 2 4 9" xfId="272"/>
    <cellStyle name="Comma 8 2 4 9 2" xfId="273"/>
    <cellStyle name="Comma 8 2 4 9 2 2" xfId="274"/>
    <cellStyle name="Comma 8 2 4 9 2 3" xfId="275"/>
    <cellStyle name="Comma 8 2 4 9 2 3 2" xfId="276"/>
    <cellStyle name="Comma 8 2 5" xfId="277"/>
    <cellStyle name="Comma 8 2 5 2" xfId="278"/>
    <cellStyle name="Comma 8 2 5 3" xfId="279"/>
    <cellStyle name="Comma 8 2 5 4" xfId="280"/>
    <cellStyle name="Comma 8 2 6" xfId="281"/>
    <cellStyle name="Comma 8 2 6 2" xfId="282"/>
    <cellStyle name="Comma 8 2 6 2 2" xfId="283"/>
    <cellStyle name="Comma 8 2 6 2 3" xfId="284"/>
    <cellStyle name="Comma 8 2 6 2 3 2" xfId="285"/>
    <cellStyle name="Comma 8 2 6 3" xfId="286"/>
    <cellStyle name="Comma 8 2 7" xfId="287"/>
    <cellStyle name="Comma 8 2 7 2" xfId="288"/>
    <cellStyle name="Comma 8 2 7 3" xfId="289"/>
    <cellStyle name="Comma 8 2 7 3 2" xfId="290"/>
    <cellStyle name="Comma 8 2 8" xfId="291"/>
    <cellStyle name="Comma 8 2 9" xfId="292"/>
    <cellStyle name="Comma 8 2 9 2" xfId="293"/>
    <cellStyle name="Comma 8 3" xfId="294"/>
    <cellStyle name="Comma 8 4" xfId="295"/>
    <cellStyle name="Comma 8 5" xfId="296"/>
    <cellStyle name="Comma 8 5 2" xfId="297"/>
    <cellStyle name="Comma 8 6" xfId="298"/>
    <cellStyle name="Comma 8 6 2" xfId="299"/>
    <cellStyle name="Comma 9" xfId="300"/>
    <cellStyle name="Comma 9 2" xfId="301"/>
    <cellStyle name="Comma 9 2 2" xfId="302"/>
    <cellStyle name="Comma 9 2 3" xfId="303"/>
    <cellStyle name="Comma 9 2 3 2" xfId="304"/>
    <cellStyle name="Comma 9 2 3 3" xfId="305"/>
    <cellStyle name="Comma 9 2 3 4" xfId="306"/>
    <cellStyle name="Comma 9 2 4" xfId="307"/>
    <cellStyle name="Comma 9 2 4 2" xfId="308"/>
    <cellStyle name="Comma 9 2 4 2 2" xfId="309"/>
    <cellStyle name="Comma 9 2 4 2 3" xfId="310"/>
    <cellStyle name="Comma 9 2 4 2 3 2" xfId="311"/>
    <cellStyle name="Comma 9 2 4 3" xfId="312"/>
    <cellStyle name="Comma 9 2 5" xfId="313"/>
    <cellStyle name="Comma 9 2 5 2" xfId="314"/>
    <cellStyle name="Comma 9 2 5 3" xfId="315"/>
    <cellStyle name="Comma 9 2 5 3 2" xfId="316"/>
    <cellStyle name="Comma 9 2 6" xfId="317"/>
    <cellStyle name="Comma 9 2 7" xfId="318"/>
    <cellStyle name="Comma 9 2 7 2" xfId="319"/>
    <cellStyle name="Comma 9 3" xfId="320"/>
    <cellStyle name="Comma 9 4" xfId="321"/>
    <cellStyle name="Comma 9 5" xfId="322"/>
    <cellStyle name="Comma 9 6" xfId="323"/>
    <cellStyle name="Comma 9 6 10" xfId="324"/>
    <cellStyle name="Comma 9 6 11" xfId="325"/>
    <cellStyle name="Comma 9 6 11 2" xfId="326"/>
    <cellStyle name="Comma 9 6 11 2 2" xfId="327"/>
    <cellStyle name="Comma 9 6 11 2 3" xfId="328"/>
    <cellStyle name="Comma 9 6 11 2 3 2" xfId="329"/>
    <cellStyle name="Comma 9 6 2" xfId="330"/>
    <cellStyle name="Comma 9 6 3" xfId="331"/>
    <cellStyle name="Comma 9 6 4" xfId="332"/>
    <cellStyle name="Comma 9 6 5" xfId="333"/>
    <cellStyle name="Comma 9 6 5 2" xfId="334"/>
    <cellStyle name="Comma 9 6 5 2 2" xfId="335"/>
    <cellStyle name="Comma 9 6 5 2 3" xfId="336"/>
    <cellStyle name="Comma 9 6 6" xfId="337"/>
    <cellStyle name="Comma 9 6 7" xfId="338"/>
    <cellStyle name="Comma 9 6 8" xfId="339"/>
    <cellStyle name="Comma 9 6 9" xfId="340"/>
    <cellStyle name="Comma 9 6 9 2" xfId="341"/>
    <cellStyle name="Comma 9 6 9 2 2" xfId="342"/>
    <cellStyle name="Comma 9 6 9 2 3" xfId="343"/>
    <cellStyle name="Comma 9 6 9 2 3 2" xfId="344"/>
    <cellStyle name="Currency" xfId="1" builtinId="4"/>
    <cellStyle name="Currency 10" xfId="345"/>
    <cellStyle name="Currency 11" xfId="816"/>
    <cellStyle name="Currency 2" xfId="346"/>
    <cellStyle name="Currency 2 2" xfId="811"/>
    <cellStyle name="Currency 3" xfId="3"/>
    <cellStyle name="Currency 3 2" xfId="347"/>
    <cellStyle name="Currency 3 2 2" xfId="348"/>
    <cellStyle name="Currency 3 3" xfId="349"/>
    <cellStyle name="Currency 4" xfId="350"/>
    <cellStyle name="Currency 4 2" xfId="351"/>
    <cellStyle name="Currency 4 3" xfId="352"/>
    <cellStyle name="Currency 4 3 2" xfId="353"/>
    <cellStyle name="Currency 5" xfId="354"/>
    <cellStyle name="Currency 5 2" xfId="355"/>
    <cellStyle name="Currency 5 3" xfId="356"/>
    <cellStyle name="Currency 5 3 2" xfId="357"/>
    <cellStyle name="Currency 6" xfId="358"/>
    <cellStyle name="Currency 7" xfId="359"/>
    <cellStyle name="Currency 7 2" xfId="360"/>
    <cellStyle name="Currency 8" xfId="361"/>
    <cellStyle name="Currency 8 2" xfId="362"/>
    <cellStyle name="Currency 9" xfId="363"/>
    <cellStyle name="Currency 9 2" xfId="364"/>
    <cellStyle name="Normal" xfId="0" builtinId="0"/>
    <cellStyle name="Normal 10" xfId="365"/>
    <cellStyle name="Normal 10 2" xfId="366"/>
    <cellStyle name="Normal 105" xfId="808"/>
    <cellStyle name="Normal 11" xfId="367"/>
    <cellStyle name="Normal 11 2" xfId="368"/>
    <cellStyle name="Normal 111" xfId="810"/>
    <cellStyle name="Normal 12" xfId="369"/>
    <cellStyle name="Normal 12 2" xfId="370"/>
    <cellStyle name="Normal 121" xfId="812"/>
    <cellStyle name="Normal 13" xfId="371"/>
    <cellStyle name="Normal 13 2" xfId="372"/>
    <cellStyle name="Normal 14" xfId="373"/>
    <cellStyle name="Normal 14 2" xfId="374"/>
    <cellStyle name="Normal 15" xfId="375"/>
    <cellStyle name="Normal 15 2" xfId="813"/>
    <cellStyle name="Normal 16" xfId="376"/>
    <cellStyle name="Normal 17" xfId="814"/>
    <cellStyle name="Normal 18" xfId="830"/>
    <cellStyle name="Normal 19" xfId="827"/>
    <cellStyle name="Normal 2" xfId="377"/>
    <cellStyle name="Normal 2 2" xfId="378"/>
    <cellStyle name="Normal 2 2 2" xfId="379"/>
    <cellStyle name="Normal 2 2 3" xfId="380"/>
    <cellStyle name="Normal 2 2 4" xfId="381"/>
    <cellStyle name="Normal 2 2 4 2" xfId="382"/>
    <cellStyle name="Normal 2 2 4 2 2" xfId="383"/>
    <cellStyle name="Normal 2 2 4 3" xfId="384"/>
    <cellStyle name="Normal 2 2 4 4" xfId="385"/>
    <cellStyle name="Normal 2 2 4 5" xfId="386"/>
    <cellStyle name="Normal 2 2 4 5 2" xfId="387"/>
    <cellStyle name="Normal 2 2 5" xfId="388"/>
    <cellStyle name="Normal 2 2 6" xfId="389"/>
    <cellStyle name="Normal 2 2 6 2" xfId="390"/>
    <cellStyle name="Normal 2 2 6 2 2" xfId="391"/>
    <cellStyle name="Normal 2 2 6 3" xfId="392"/>
    <cellStyle name="Normal 2 3" xfId="393"/>
    <cellStyle name="Normal 2 3 2" xfId="394"/>
    <cellStyle name="Normal 2 3 2 2" xfId="395"/>
    <cellStyle name="Normal 2 3 3" xfId="396"/>
    <cellStyle name="Normal 2 4" xfId="397"/>
    <cellStyle name="Normal 2 5" xfId="817"/>
    <cellStyle name="Normal 3" xfId="398"/>
    <cellStyle name="Normal 3 2" xfId="399"/>
    <cellStyle name="Normal 3 2 2" xfId="400"/>
    <cellStyle name="Normal 3 3" xfId="401"/>
    <cellStyle name="Normal 3 3 2" xfId="402"/>
    <cellStyle name="Normal 3 4" xfId="403"/>
    <cellStyle name="Normal 3 4 2" xfId="404"/>
    <cellStyle name="Normal 3 4 2 2" xfId="405"/>
    <cellStyle name="Normal 3 4 3" xfId="406"/>
    <cellStyle name="Normal 3 5" xfId="818"/>
    <cellStyle name="Normal 4" xfId="2"/>
    <cellStyle name="Normal 4 2" xfId="407"/>
    <cellStyle name="Normal 4 3" xfId="408"/>
    <cellStyle name="Normal 4 3 2" xfId="409"/>
    <cellStyle name="Normal 4 3 2 2" xfId="410"/>
    <cellStyle name="Normal 4 3 2 2 2" xfId="411"/>
    <cellStyle name="Normal 4 3 2 3" xfId="412"/>
    <cellStyle name="Normal 4 3 3" xfId="413"/>
    <cellStyle name="Normal 4 4" xfId="414"/>
    <cellStyle name="Normal 4 4 2" xfId="415"/>
    <cellStyle name="Normal 4 4 3" xfId="819"/>
    <cellStyle name="Normal 4 5" xfId="416"/>
    <cellStyle name="Normal 5" xfId="417"/>
    <cellStyle name="Normal 5 2" xfId="418"/>
    <cellStyle name="Normal 5 2 2" xfId="419"/>
    <cellStyle name="Normal 5 2 3" xfId="420"/>
    <cellStyle name="Normal 5 2 3 2" xfId="421"/>
    <cellStyle name="Normal 5 3" xfId="422"/>
    <cellStyle name="Normal 5 4" xfId="423"/>
    <cellStyle name="Normal 6" xfId="424"/>
    <cellStyle name="Normal 6 2" xfId="425"/>
    <cellStyle name="Normal 7" xfId="426"/>
    <cellStyle name="Normal 7 2" xfId="427"/>
    <cellStyle name="Normal 7 3" xfId="428"/>
    <cellStyle name="Normal 7 3 2" xfId="429"/>
    <cellStyle name="Normal 7 4" xfId="809"/>
    <cellStyle name="Normal 8" xfId="430"/>
    <cellStyle name="Normal 9" xfId="431"/>
    <cellStyle name="Normal 9 2" xfId="432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 5 2" xfId="538"/>
    <cellStyle name="Percent 2 5 2 2" xfId="539"/>
    <cellStyle name="Percent 2 5 3" xfId="540"/>
    <cellStyle name="Percent 20" xfId="541"/>
    <cellStyle name="Percent 20 2" xfId="542"/>
    <cellStyle name="Percent 20 3" xfId="543"/>
    <cellStyle name="Percent 20 3 2" xfId="544"/>
    <cellStyle name="Percent 21" xfId="545"/>
    <cellStyle name="Percent 21 2" xfId="546"/>
    <cellStyle name="Percent 21 3" xfId="547"/>
    <cellStyle name="Percent 21 3 2" xfId="548"/>
    <cellStyle name="Percent 22" xfId="549"/>
    <cellStyle name="Percent 22 2" xfId="550"/>
    <cellStyle name="Percent 23" xfId="551"/>
    <cellStyle name="Percent 23 2" xfId="552"/>
    <cellStyle name="Percent 24" xfId="553"/>
    <cellStyle name="Percent 25" xfId="554"/>
    <cellStyle name="Percent 25 2" xfId="555"/>
    <cellStyle name="Percent 25 3" xfId="556"/>
    <cellStyle name="Percent 25 3 2" xfId="557"/>
    <cellStyle name="Percent 26" xfId="558"/>
    <cellStyle name="Percent 27" xfId="559"/>
    <cellStyle name="Percent 27 2" xfId="560"/>
    <cellStyle name="Percent 28" xfId="561"/>
    <cellStyle name="Percent 28 2" xfId="562"/>
    <cellStyle name="Percent 28 3" xfId="828"/>
    <cellStyle name="Percent 29" xfId="563"/>
    <cellStyle name="Percent 3" xfId="4"/>
    <cellStyle name="Percent 3 2" xfId="564"/>
    <cellStyle name="Percent 3 2 2" xfId="565"/>
    <cellStyle name="Percent 3 2 3" xfId="566"/>
    <cellStyle name="Percent 3 2 3 2" xfId="567"/>
    <cellStyle name="Percent 3 2 3 3" xfId="568"/>
    <cellStyle name="Percent 3 2 3 4" xfId="569"/>
    <cellStyle name="Percent 3 2 4" xfId="570"/>
    <cellStyle name="Percent 3 2 4 2" xfId="571"/>
    <cellStyle name="Percent 3 2 4 2 2" xfId="572"/>
    <cellStyle name="Percent 3 2 4 2 3" xfId="573"/>
    <cellStyle name="Percent 3 2 4 2 3 2" xfId="574"/>
    <cellStyle name="Percent 3 2 4 3" xfId="575"/>
    <cellStyle name="Percent 3 2 5" xfId="576"/>
    <cellStyle name="Percent 3 2 5 2" xfId="577"/>
    <cellStyle name="Percent 3 2 5 3" xfId="578"/>
    <cellStyle name="Percent 3 2 5 3 2" xfId="579"/>
    <cellStyle name="Percent 3 2 6" xfId="580"/>
    <cellStyle name="Percent 3 2 7" xfId="581"/>
    <cellStyle name="Percent 3 2 7 2" xfId="582"/>
    <cellStyle name="Percent 3 3" xfId="583"/>
    <cellStyle name="Percent 3 4" xfId="584"/>
    <cellStyle name="Percent 3 5" xfId="585"/>
    <cellStyle name="Percent 3 5 2" xfId="586"/>
    <cellStyle name="Percent 3 5 3" xfId="587"/>
    <cellStyle name="Percent 3 5 4" xfId="588"/>
    <cellStyle name="Percent 3 6" xfId="589"/>
    <cellStyle name="Percent 3 6 2" xfId="590"/>
    <cellStyle name="Percent 3 7" xfId="591"/>
    <cellStyle name="Percent 30" xfId="820"/>
    <cellStyle name="Percent 4" xfId="592"/>
    <cellStyle name="Percent 4 2" xfId="593"/>
    <cellStyle name="Percent 4 3" xfId="594"/>
    <cellStyle name="Percent 4 3 2" xfId="595"/>
    <cellStyle name="Percent 4 3 3" xfId="596"/>
    <cellStyle name="Percent 4 3 4" xfId="597"/>
    <cellStyle name="Percent 4 4" xfId="598"/>
    <cellStyle name="Percent 4 4 2" xfId="599"/>
    <cellStyle name="Percent 4 4 2 2" xfId="600"/>
    <cellStyle name="Percent 4 4 2 3" xfId="601"/>
    <cellStyle name="Percent 4 4 2 3 2" xfId="602"/>
    <cellStyle name="Percent 4 4 3" xfId="603"/>
    <cellStyle name="Percent 4 5" xfId="604"/>
    <cellStyle name="Percent 4 5 2" xfId="605"/>
    <cellStyle name="Percent 4 5 3" xfId="606"/>
    <cellStyle name="Percent 4 5 3 2" xfId="607"/>
    <cellStyle name="Percent 4 6" xfId="608"/>
    <cellStyle name="Percent 4 7" xfId="609"/>
    <cellStyle name="Percent 4 7 2" xfId="610"/>
    <cellStyle name="Percent 5" xfId="611"/>
    <cellStyle name="Percent 5 2" xfId="612"/>
    <cellStyle name="Percent 5 3" xfId="613"/>
    <cellStyle name="Percent 5 3 2" xfId="614"/>
    <cellStyle name="Percent 5 3 3" xfId="615"/>
    <cellStyle name="Percent 5 4" xfId="616"/>
    <cellStyle name="Percent 5 4 2" xfId="617"/>
    <cellStyle name="Percent 5 4 3" xfId="618"/>
    <cellStyle name="Percent 5 4 4" xfId="619"/>
    <cellStyle name="Percent 5 5" xfId="620"/>
    <cellStyle name="Percent 5 5 2" xfId="621"/>
    <cellStyle name="Percent 5 5 2 2" xfId="622"/>
    <cellStyle name="Percent 5 5 2 3" xfId="623"/>
    <cellStyle name="Percent 5 5 2 3 2" xfId="624"/>
    <cellStyle name="Percent 5 5 3" xfId="625"/>
    <cellStyle name="Percent 5 6" xfId="626"/>
    <cellStyle name="Percent 5 6 2" xfId="627"/>
    <cellStyle name="Percent 5 6 3" xfId="628"/>
    <cellStyle name="Percent 5 6 3 2" xfId="629"/>
    <cellStyle name="Percent 5 7" xfId="630"/>
    <cellStyle name="Percent 5 8" xfId="631"/>
    <cellStyle name="Percent 5 8 2" xfId="632"/>
    <cellStyle name="Percent 5 9" xfId="633"/>
    <cellStyle name="Percent 5 9 2" xfId="634"/>
    <cellStyle name="Percent 5 9 3" xfId="635"/>
    <cellStyle name="Percent 5 9 3 2" xfId="636"/>
    <cellStyle name="Percent 6" xfId="637"/>
    <cellStyle name="Percent 6 10" xfId="638"/>
    <cellStyle name="Percent 6 11" xfId="639"/>
    <cellStyle name="Percent 6 11 2" xfId="640"/>
    <cellStyle name="Percent 6 11 2 2" xfId="641"/>
    <cellStyle name="Percent 6 11 2 3" xfId="642"/>
    <cellStyle name="Percent 6 11 2 3 2" xfId="643"/>
    <cellStyle name="Percent 6 12" xfId="644"/>
    <cellStyle name="Percent 6 13" xfId="645"/>
    <cellStyle name="Percent 6 13 2" xfId="646"/>
    <cellStyle name="Percent 6 13 2 2" xfId="647"/>
    <cellStyle name="Percent 6 13 2 3" xfId="648"/>
    <cellStyle name="Percent 6 13 2 3 2" xfId="649"/>
    <cellStyle name="Percent 6 14" xfId="650"/>
    <cellStyle name="Percent 6 14 2" xfId="651"/>
    <cellStyle name="Percent 6 15" xfId="652"/>
    <cellStyle name="Percent 6 16" xfId="653"/>
    <cellStyle name="Percent 6 16 2" xfId="654"/>
    <cellStyle name="Percent 6 2" xfId="655"/>
    <cellStyle name="Percent 6 3" xfId="656"/>
    <cellStyle name="Percent 6 4" xfId="657"/>
    <cellStyle name="Percent 6 5" xfId="658"/>
    <cellStyle name="Percent 6 6" xfId="659"/>
    <cellStyle name="Percent 6 7" xfId="660"/>
    <cellStyle name="Percent 6 7 2" xfId="661"/>
    <cellStyle name="Percent 6 7 2 2" xfId="662"/>
    <cellStyle name="Percent 6 7 2 3" xfId="663"/>
    <cellStyle name="Percent 6 8" xfId="664"/>
    <cellStyle name="Percent 6 9" xfId="665"/>
    <cellStyle name="Percent 7" xfId="666"/>
    <cellStyle name="Percent 7 10" xfId="667"/>
    <cellStyle name="Percent 7 11" xfId="668"/>
    <cellStyle name="Percent 7 11 2" xfId="669"/>
    <cellStyle name="Percent 7 11 2 2" xfId="670"/>
    <cellStyle name="Percent 7 11 2 3" xfId="671"/>
    <cellStyle name="Percent 7 11 2 3 2" xfId="672"/>
    <cellStyle name="Percent 7 12" xfId="673"/>
    <cellStyle name="Percent 7 12 2" xfId="674"/>
    <cellStyle name="Percent 7 13" xfId="675"/>
    <cellStyle name="Percent 7 14" xfId="676"/>
    <cellStyle name="Percent 7 14 2" xfId="677"/>
    <cellStyle name="Percent 7 2" xfId="678"/>
    <cellStyle name="Percent 7 3" xfId="679"/>
    <cellStyle name="Percent 7 4" xfId="680"/>
    <cellStyle name="Percent 7 5" xfId="681"/>
    <cellStyle name="Percent 7 5 2" xfId="682"/>
    <cellStyle name="Percent 7 5 2 2" xfId="683"/>
    <cellStyle name="Percent 7 5 2 3" xfId="684"/>
    <cellStyle name="Percent 7 5 2 4" xfId="685"/>
    <cellStyle name="Percent 7 6" xfId="686"/>
    <cellStyle name="Percent 7 7" xfId="687"/>
    <cellStyle name="Percent 7 8" xfId="688"/>
    <cellStyle name="Percent 7 9" xfId="689"/>
    <cellStyle name="Percent 7 9 2" xfId="690"/>
    <cellStyle name="Percent 7 9 2 2" xfId="691"/>
    <cellStyle name="Percent 7 9 2 3" xfId="692"/>
    <cellStyle name="Percent 7 9 2 3 2" xfId="693"/>
    <cellStyle name="Percent 8" xfId="694"/>
    <cellStyle name="Percent 8 2" xfId="695"/>
    <cellStyle name="Percent 8 3" xfId="696"/>
    <cellStyle name="Percent 8 4" xfId="697"/>
    <cellStyle name="Percent 8 5" xfId="698"/>
    <cellStyle name="Percent 9" xfId="699"/>
    <cellStyle name="Percent 9 2" xfId="700"/>
    <cellStyle name="Percent 9 3" xfId="701"/>
    <cellStyle name="Percent 9 4" xfId="702"/>
    <cellStyle name="Percent 9 5" xfId="703"/>
    <cellStyle name="PSChar" xfId="704"/>
    <cellStyle name="PSChar 10" xfId="826"/>
    <cellStyle name="PSChar 2" xfId="705"/>
    <cellStyle name="PSChar 2 2" xfId="706"/>
    <cellStyle name="PSChar 2 2 2" xfId="707"/>
    <cellStyle name="PSChar 3" xfId="708"/>
    <cellStyle name="PSChar 3 2" xfId="709"/>
    <cellStyle name="PSChar 4" xfId="710"/>
    <cellStyle name="PSChar 4 2" xfId="711"/>
    <cellStyle name="PSChar 5" xfId="712"/>
    <cellStyle name="PSChar 5 2" xfId="713"/>
    <cellStyle name="PSChar 5 3" xfId="714"/>
    <cellStyle name="PSChar 5 3 2" xfId="715"/>
    <cellStyle name="PSChar 6" xfId="716"/>
    <cellStyle name="PSChar 6 2" xfId="717"/>
    <cellStyle name="PSChar 7" xfId="718"/>
    <cellStyle name="PSChar 8" xfId="719"/>
    <cellStyle name="PSChar 8 2" xfId="720"/>
    <cellStyle name="PSChar 9" xfId="721"/>
    <cellStyle name="PSChar 9 2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ate 8 2" xfId="739"/>
    <cellStyle name="PSDate 9" xfId="825"/>
    <cellStyle name="PSDec" xfId="740"/>
    <cellStyle name="PSDec 10" xfId="824"/>
    <cellStyle name="PSDec 2" xfId="741"/>
    <cellStyle name="PSDec 2 2" xfId="742"/>
    <cellStyle name="PSDec 2 2 2" xfId="743"/>
    <cellStyle name="PSDec 3" xfId="744"/>
    <cellStyle name="PSDec 3 2" xfId="745"/>
    <cellStyle name="PSDec 4" xfId="746"/>
    <cellStyle name="PSDec 4 2" xfId="747"/>
    <cellStyle name="PSDec 5" xfId="748"/>
    <cellStyle name="PSDec 5 2" xfId="749"/>
    <cellStyle name="PSDec 5 3" xfId="750"/>
    <cellStyle name="PSDec 5 3 2" xfId="751"/>
    <cellStyle name="PSDec 6" xfId="752"/>
    <cellStyle name="PSDec 6 2" xfId="753"/>
    <cellStyle name="PSDec 7" xfId="754"/>
    <cellStyle name="PSDec 8" xfId="755"/>
    <cellStyle name="PSDec 8 2" xfId="756"/>
    <cellStyle name="PSDec 9" xfId="757"/>
    <cellStyle name="PSDec 9 2" xfId="758"/>
    <cellStyle name="PSHeading" xfId="759"/>
    <cellStyle name="PSHeading 2" xfId="760"/>
    <cellStyle name="PSHeading 2 2" xfId="761"/>
    <cellStyle name="PSHeading 2 2 2" xfId="762"/>
    <cellStyle name="PSHeading 2 2 3" xfId="763"/>
    <cellStyle name="PSHeading 2 2 3 2" xfId="764"/>
    <cellStyle name="PSHeading 3" xfId="765"/>
    <cellStyle name="PSHeading 3 2" xfId="766"/>
    <cellStyle name="PSHeading 3 3" xfId="767"/>
    <cellStyle name="PSHeading 3 3 2" xfId="768"/>
    <cellStyle name="PSHeading 4" xfId="769"/>
    <cellStyle name="PSHeading 4 2" xfId="770"/>
    <cellStyle name="PSHeading 5" xfId="771"/>
    <cellStyle name="PSHeading 5 2" xfId="772"/>
    <cellStyle name="PSHeading 6" xfId="823"/>
    <cellStyle name="PSInt" xfId="773"/>
    <cellStyle name="PSInt 10" xfId="822"/>
    <cellStyle name="PSInt 2" xfId="774"/>
    <cellStyle name="PSInt 2 2" xfId="775"/>
    <cellStyle name="PSInt 2 2 2" xfId="776"/>
    <cellStyle name="PSInt 3" xfId="777"/>
    <cellStyle name="PSInt 3 2" xfId="778"/>
    <cellStyle name="PSInt 4" xfId="779"/>
    <cellStyle name="PSInt 4 2" xfId="780"/>
    <cellStyle name="PSInt 5" xfId="781"/>
    <cellStyle name="PSInt 5 2" xfId="782"/>
    <cellStyle name="PSInt 5 3" xfId="783"/>
    <cellStyle name="PSInt 5 3 2" xfId="784"/>
    <cellStyle name="PSInt 6" xfId="785"/>
    <cellStyle name="PSInt 6 2" xfId="786"/>
    <cellStyle name="PSInt 7" xfId="787"/>
    <cellStyle name="PSInt 8" xfId="788"/>
    <cellStyle name="PSInt 8 2" xfId="789"/>
    <cellStyle name="PSInt 9" xfId="790"/>
    <cellStyle name="PSInt 9 2" xfId="791"/>
    <cellStyle name="PSSpacer" xfId="792"/>
    <cellStyle name="PSSpacer 2" xfId="793"/>
    <cellStyle name="PSSpacer 2 2" xfId="794"/>
    <cellStyle name="PSSpacer 3" xfId="795"/>
    <cellStyle name="PSSpacer 3 2" xfId="796"/>
    <cellStyle name="PSSpacer 4" xfId="797"/>
    <cellStyle name="PSSpacer 4 2" xfId="798"/>
    <cellStyle name="PSSpacer 5" xfId="799"/>
    <cellStyle name="PSSpacer 5 2" xfId="800"/>
    <cellStyle name="PSSpacer 5 3" xfId="801"/>
    <cellStyle name="PSSpacer 5 3 2" xfId="802"/>
    <cellStyle name="PSSpacer 6" xfId="803"/>
    <cellStyle name="PSSpacer 6 2" xfId="804"/>
    <cellStyle name="PSSpacer 7" xfId="805"/>
    <cellStyle name="PSSpacer 8" xfId="806"/>
    <cellStyle name="PSSpacer 8 2" xfId="807"/>
    <cellStyle name="PSSpacer 9" xfId="8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0" Type="http://schemas.openxmlformats.org/officeDocument/2006/relationships/styles" Target="styles.xml" />
  <Relationship Id="rId9" Type="http://schemas.openxmlformats.org/officeDocument/2006/relationships/theme" Target="theme/theme1.xml" />
  <Relationship Id="rId11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8" Type="http://schemas.openxmlformats.org/officeDocument/2006/relationships/externalLink" Target="externalLinks/externalLink3.xml" />
  <Relationship Id="rId13" Type="http://schemas.openxmlformats.org/officeDocument/2006/relationships/customXml" Target="../customXml/item1.xml" />
  <Relationship Id="rId7" Type="http://schemas.openxmlformats.org/officeDocument/2006/relationships/externalLink" Target="externalLinks/externalLink2.xml" />
  <Relationship Id="rId12" Type="http://schemas.openxmlformats.org/officeDocument/2006/relationships/calcChain" Target="calcChain.xml" />
  <Relationship Id="rId6" Type="http://schemas.openxmlformats.org/officeDocument/2006/relationships/externalLink" Target="externalLinks/externalLink1.xml" />
  <Relationship Id="rId15" Type="http://schemas.openxmlformats.org/officeDocument/2006/relationships/customXml" Target="../customXml/item3.xml" />
  <Relationship Id="rId14" Type="http://schemas.openxmlformats.org/officeDocument/2006/relationships/customXml" Target="../customXml/item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ase%20No%202009%20-%20Potential%20Rate%20Case/Section%20V%20-%20Schedule%2010%20-%20Tax%20Workpapers/KPCo%20Rate%20Case%20-%20Sch%2010%20-%20Internal%20Version%20-%2009-30-2009%20-%20Tom%20Syner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notes7FB054/Remove%20Big%20Sandy%20COS%20from%20Base%20Case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Internal/Regulatory%20Services/2014%20Compliance%20Plan/Workpapers/Mitchell%20Environmental%20Expenses,%201-1-14%20--%209-30-14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C1" zoomScale="80" zoomScaleNormal="80" workbookViewId="0">
      <pane xSplit="2" ySplit="4" topLeftCell="E20" activePane="bottomRight" state="frozen"/>
      <selection activeCell="C1" sqref="C1"/>
      <selection pane="topRight" activeCell="E1" sqref="E1"/>
      <selection pane="bottomLeft" activeCell="C5" sqref="C5"/>
      <selection pane="bottomRight" activeCell="C47" sqref="C47"/>
    </sheetView>
  </sheetViews>
  <sheetFormatPr defaultRowHeight="15"/>
  <cols>
    <col min="1" max="1" width="5.28515625" customWidth="1"/>
    <col min="2" max="2" width="0.28515625" customWidth="1"/>
    <col min="3" max="3" width="52.28515625" customWidth="1"/>
    <col min="4" max="4" width="15.5703125" customWidth="1"/>
    <col min="5" max="14" width="18.140625" customWidth="1"/>
    <col min="15" max="16" width="18.140625" style="36" customWidth="1"/>
    <col min="17" max="17" width="12.28515625" bestFit="1" customWidth="1"/>
  </cols>
  <sheetData>
    <row r="1" spans="1:19" ht="15.75" thickBot="1"/>
    <row r="2" spans="1:19" ht="15.75" customHeight="1" thickBot="1">
      <c r="A2" s="270" t="s">
        <v>0</v>
      </c>
      <c r="B2" s="1"/>
      <c r="C2" s="2"/>
      <c r="D2" s="3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</row>
    <row r="3" spans="1:19" ht="15.75" thickBot="1">
      <c r="A3" s="271"/>
      <c r="B3" s="4"/>
      <c r="C3" s="5" t="s">
        <v>1</v>
      </c>
      <c r="D3" s="6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</row>
    <row r="4" spans="1:19" ht="15.75" thickBot="1">
      <c r="A4" s="7"/>
      <c r="B4" s="8"/>
      <c r="C4" s="9"/>
      <c r="D4" s="10"/>
      <c r="E4" s="244">
        <v>42432</v>
      </c>
      <c r="F4" s="110">
        <v>42463</v>
      </c>
      <c r="G4" s="115">
        <v>42494</v>
      </c>
      <c r="H4" s="116">
        <v>42525</v>
      </c>
      <c r="I4" s="115">
        <v>42556</v>
      </c>
      <c r="J4" s="116">
        <v>42587</v>
      </c>
      <c r="K4" s="115">
        <v>42618</v>
      </c>
      <c r="L4" s="116">
        <v>42649</v>
      </c>
      <c r="M4" s="115">
        <v>42680</v>
      </c>
      <c r="N4" s="116">
        <v>42711</v>
      </c>
      <c r="O4" s="115">
        <f>N4+30</f>
        <v>42741</v>
      </c>
      <c r="P4" s="245">
        <f>O4+30</f>
        <v>42771</v>
      </c>
    </row>
    <row r="5" spans="1:19">
      <c r="A5" s="12">
        <v>1</v>
      </c>
      <c r="B5" s="8"/>
      <c r="C5" s="9" t="s">
        <v>2</v>
      </c>
      <c r="D5" s="10"/>
      <c r="E5" s="99">
        <v>376324108.02500004</v>
      </c>
      <c r="F5" s="101">
        <v>376396768.27500004</v>
      </c>
      <c r="G5" s="100">
        <v>376422253.10500002</v>
      </c>
      <c r="H5" s="117">
        <v>376452968.90500003</v>
      </c>
      <c r="I5" s="100">
        <v>377742431.56500006</v>
      </c>
      <c r="J5" s="117">
        <v>377766608.17500007</v>
      </c>
      <c r="K5" s="100">
        <v>377776401.68500006</v>
      </c>
      <c r="L5" s="117">
        <v>368508175.94500017</v>
      </c>
      <c r="M5" s="100">
        <v>368508175.94500017</v>
      </c>
      <c r="N5" s="117">
        <v>368510642.5150001</v>
      </c>
      <c r="O5" s="100">
        <v>368515537</v>
      </c>
      <c r="P5" s="246">
        <v>369649687</v>
      </c>
    </row>
    <row r="6" spans="1:19" s="36" customFormat="1">
      <c r="A6" s="12" t="s">
        <v>42</v>
      </c>
      <c r="B6" s="8"/>
      <c r="C6" s="219" t="s">
        <v>43</v>
      </c>
      <c r="D6" s="220"/>
      <c r="E6" s="221">
        <v>-379423.29</v>
      </c>
      <c r="F6" s="222">
        <v>-386829.12</v>
      </c>
      <c r="G6" s="221">
        <v>-477836.77</v>
      </c>
      <c r="H6" s="222">
        <v>-1592772.7</v>
      </c>
      <c r="I6" s="221">
        <v>-1598846.91</v>
      </c>
      <c r="J6" s="222">
        <v>-1602323.3199999998</v>
      </c>
      <c r="K6" s="221">
        <v>-8198927.2299999986</v>
      </c>
      <c r="L6" s="222"/>
      <c r="M6" s="221"/>
      <c r="N6" s="222"/>
      <c r="O6" s="221"/>
      <c r="P6" s="227"/>
    </row>
    <row r="7" spans="1:19" ht="15.75" customHeight="1">
      <c r="A7" s="12">
        <f>A5+1</f>
        <v>2</v>
      </c>
      <c r="B7" s="8"/>
      <c r="C7" s="9" t="s">
        <v>3</v>
      </c>
      <c r="D7" s="10"/>
      <c r="E7" s="13">
        <v>83139850.530000001</v>
      </c>
      <c r="F7" s="27">
        <v>84202634.239999965</v>
      </c>
      <c r="G7" s="13">
        <v>85034351.950000018</v>
      </c>
      <c r="H7" s="27">
        <v>84217749.830000013</v>
      </c>
      <c r="I7" s="13">
        <v>85201251.100000024</v>
      </c>
      <c r="J7" s="27">
        <v>86296698.359999999</v>
      </c>
      <c r="K7" s="13">
        <v>84840566.73999998</v>
      </c>
      <c r="L7" s="27">
        <v>85697886.529999986</v>
      </c>
      <c r="M7" s="13">
        <v>87521673.459999979</v>
      </c>
      <c r="N7" s="27">
        <v>88572676.970000014</v>
      </c>
      <c r="O7" s="13">
        <v>89562485</v>
      </c>
      <c r="P7" s="31">
        <v>90670790</v>
      </c>
    </row>
    <row r="8" spans="1:19">
      <c r="A8" s="14">
        <f t="shared" ref="A8:A44" si="0">A7+1</f>
        <v>3</v>
      </c>
      <c r="B8" s="8"/>
      <c r="C8" s="15" t="s">
        <v>4</v>
      </c>
      <c r="D8" s="16"/>
      <c r="E8" s="94">
        <v>41264734</v>
      </c>
      <c r="F8" s="68">
        <v>41343801</v>
      </c>
      <c r="G8" s="94">
        <v>41105851</v>
      </c>
      <c r="H8" s="68">
        <v>42368972</v>
      </c>
      <c r="I8" s="94">
        <v>42447920</v>
      </c>
      <c r="J8" s="68">
        <v>42524049</v>
      </c>
      <c r="K8" s="94">
        <v>43492573</v>
      </c>
      <c r="L8" s="68">
        <v>43649423</v>
      </c>
      <c r="M8" s="94">
        <v>43461481</v>
      </c>
      <c r="N8" s="68">
        <v>43563402</v>
      </c>
      <c r="O8" s="94">
        <v>43113008</v>
      </c>
      <c r="P8" s="29">
        <v>43749527</v>
      </c>
    </row>
    <row r="9" spans="1:19" ht="15.75" thickBot="1">
      <c r="A9" s="12">
        <f t="shared" si="0"/>
        <v>4</v>
      </c>
      <c r="B9" s="8"/>
      <c r="C9" s="9" t="s">
        <v>5</v>
      </c>
      <c r="D9" s="10"/>
      <c r="E9" s="17">
        <f t="shared" ref="E9:N9" si="1">E5+E6-E7-E8</f>
        <v>251540100.20500004</v>
      </c>
      <c r="F9" s="102">
        <f t="shared" si="1"/>
        <v>250463503.91500008</v>
      </c>
      <c r="G9" s="17">
        <f t="shared" si="1"/>
        <v>249804213.38499999</v>
      </c>
      <c r="H9" s="102">
        <f t="shared" si="1"/>
        <v>248273474.375</v>
      </c>
      <c r="I9" s="17">
        <f t="shared" si="1"/>
        <v>248494413.55500001</v>
      </c>
      <c r="J9" s="102">
        <f t="shared" si="1"/>
        <v>247343537.49500006</v>
      </c>
      <c r="K9" s="17">
        <f t="shared" si="1"/>
        <v>241244334.71500003</v>
      </c>
      <c r="L9" s="102">
        <f t="shared" si="1"/>
        <v>239160866.4150002</v>
      </c>
      <c r="M9" s="17">
        <f t="shared" si="1"/>
        <v>237525021.48500019</v>
      </c>
      <c r="N9" s="102">
        <f t="shared" si="1"/>
        <v>236374563.54500008</v>
      </c>
      <c r="O9" s="17">
        <f t="shared" ref="O9:P9" si="2">O5+O6-O7-O8</f>
        <v>235840044</v>
      </c>
      <c r="P9" s="104">
        <f t="shared" si="2"/>
        <v>235229370</v>
      </c>
    </row>
    <row r="10" spans="1:19" ht="18.75" customHeight="1" thickTop="1">
      <c r="A10" s="12">
        <f>A9+1</f>
        <v>5</v>
      </c>
      <c r="B10" s="8"/>
      <c r="C10" s="9" t="s">
        <v>6</v>
      </c>
      <c r="D10" s="10"/>
      <c r="E10" s="13">
        <v>9737436</v>
      </c>
      <c r="F10" s="27">
        <v>9706726</v>
      </c>
      <c r="G10" s="13">
        <v>9681906</v>
      </c>
      <c r="H10" s="27">
        <v>9641591</v>
      </c>
      <c r="I10" s="13">
        <v>9600434</v>
      </c>
      <c r="J10" s="27">
        <v>9550864</v>
      </c>
      <c r="K10" s="13">
        <v>9524922</v>
      </c>
      <c r="L10" s="27">
        <v>9501433.9700000007</v>
      </c>
      <c r="M10" s="13">
        <v>9461960</v>
      </c>
      <c r="N10" s="27">
        <v>9419471</v>
      </c>
      <c r="O10" s="13">
        <v>9390687</v>
      </c>
      <c r="P10" s="31">
        <v>9370786</v>
      </c>
    </row>
    <row r="11" spans="1:19">
      <c r="A11" s="12">
        <f>A10+1</f>
        <v>6</v>
      </c>
      <c r="B11" s="8"/>
      <c r="C11" s="9" t="s">
        <v>7</v>
      </c>
      <c r="D11" s="10"/>
      <c r="E11" s="13">
        <v>41261</v>
      </c>
      <c r="F11" s="27">
        <v>40730</v>
      </c>
      <c r="G11" s="13">
        <v>40300</v>
      </c>
      <c r="H11" s="27">
        <v>39607</v>
      </c>
      <c r="I11" s="13">
        <v>38890</v>
      </c>
      <c r="J11" s="27">
        <v>38032</v>
      </c>
      <c r="K11" s="13">
        <v>35156</v>
      </c>
      <c r="L11" s="27">
        <v>34748</v>
      </c>
      <c r="M11" s="13">
        <v>34066</v>
      </c>
      <c r="N11" s="27">
        <v>33329</v>
      </c>
      <c r="O11" s="13">
        <v>32967</v>
      </c>
      <c r="P11" s="31">
        <v>32713</v>
      </c>
    </row>
    <row r="12" spans="1:19">
      <c r="A12" s="12">
        <f t="shared" si="0"/>
        <v>7</v>
      </c>
      <c r="B12" s="8"/>
      <c r="C12" s="9" t="s">
        <v>8</v>
      </c>
      <c r="D12" s="10"/>
      <c r="E12" s="13">
        <v>0</v>
      </c>
      <c r="F12" s="27">
        <v>0</v>
      </c>
      <c r="G12" s="13">
        <v>0</v>
      </c>
      <c r="H12" s="27">
        <v>0</v>
      </c>
      <c r="I12" s="13">
        <v>0</v>
      </c>
      <c r="J12" s="27">
        <v>0</v>
      </c>
      <c r="K12" s="13">
        <v>0</v>
      </c>
      <c r="L12" s="27">
        <v>0</v>
      </c>
      <c r="M12" s="13">
        <v>0</v>
      </c>
      <c r="N12" s="27">
        <v>0</v>
      </c>
      <c r="O12" s="13">
        <v>0</v>
      </c>
      <c r="P12" s="31">
        <v>0</v>
      </c>
      <c r="Q12" s="98"/>
      <c r="R12" s="98"/>
      <c r="S12" s="98"/>
    </row>
    <row r="13" spans="1:19">
      <c r="A13" s="12">
        <v>8</v>
      </c>
      <c r="B13" s="8"/>
      <c r="C13" s="9" t="s">
        <v>9</v>
      </c>
      <c r="D13" s="10"/>
      <c r="E13" s="13">
        <v>0</v>
      </c>
      <c r="F13" s="27">
        <v>0</v>
      </c>
      <c r="G13" s="13">
        <v>0</v>
      </c>
      <c r="H13" s="27">
        <v>0</v>
      </c>
      <c r="I13" s="13">
        <v>0</v>
      </c>
      <c r="J13" s="27">
        <v>0</v>
      </c>
      <c r="K13" s="13">
        <v>0</v>
      </c>
      <c r="L13" s="27">
        <v>0</v>
      </c>
      <c r="M13" s="13">
        <v>0</v>
      </c>
      <c r="N13" s="27">
        <v>0</v>
      </c>
      <c r="O13" s="13">
        <v>0</v>
      </c>
      <c r="P13" s="31">
        <v>0</v>
      </c>
      <c r="Q13" s="98"/>
      <c r="R13" s="98"/>
      <c r="S13" s="98"/>
    </row>
    <row r="14" spans="1:19" s="36" customFormat="1">
      <c r="A14" s="12"/>
      <c r="B14" s="8"/>
      <c r="C14" s="9" t="s">
        <v>10</v>
      </c>
      <c r="D14" s="10"/>
      <c r="E14" s="18">
        <v>420610</v>
      </c>
      <c r="F14" s="103">
        <v>417400</v>
      </c>
      <c r="G14" s="18">
        <v>386353</v>
      </c>
      <c r="H14" s="103">
        <v>383827</v>
      </c>
      <c r="I14" s="18">
        <v>372223</v>
      </c>
      <c r="J14" s="103">
        <v>372284</v>
      </c>
      <c r="K14" s="18">
        <v>376630</v>
      </c>
      <c r="L14" s="103">
        <v>395753</v>
      </c>
      <c r="M14" s="18">
        <v>393039</v>
      </c>
      <c r="N14" s="103">
        <v>406191</v>
      </c>
      <c r="O14" s="18">
        <v>390827</v>
      </c>
      <c r="P14" s="30">
        <v>367529</v>
      </c>
      <c r="Q14" s="98"/>
      <c r="R14" s="98"/>
      <c r="S14" s="98"/>
    </row>
    <row r="15" spans="1:19" s="36" customFormat="1">
      <c r="A15" s="12" t="s">
        <v>49</v>
      </c>
      <c r="B15" s="8"/>
      <c r="C15" s="39" t="s">
        <v>62</v>
      </c>
      <c r="D15" s="10"/>
      <c r="E15" s="94">
        <v>214494.76</v>
      </c>
      <c r="F15" s="68">
        <v>158270.51</v>
      </c>
      <c r="G15" s="94">
        <v>86607.05</v>
      </c>
      <c r="H15" s="68">
        <v>152042.55000000002</v>
      </c>
      <c r="I15" s="94">
        <v>41561.410000000003</v>
      </c>
      <c r="J15" s="68">
        <v>112195.74</v>
      </c>
      <c r="K15" s="94">
        <v>217438.52000000002</v>
      </c>
      <c r="L15" s="68">
        <v>200550.16</v>
      </c>
      <c r="M15" s="94">
        <v>110001.8</v>
      </c>
      <c r="N15" s="68">
        <v>-0.15</v>
      </c>
      <c r="O15" s="109">
        <v>67991.14</v>
      </c>
      <c r="P15" s="247">
        <v>181206.62</v>
      </c>
      <c r="Q15" s="98"/>
      <c r="R15" s="98"/>
      <c r="S15" s="98"/>
    </row>
    <row r="16" spans="1:19" s="36" customFormat="1">
      <c r="A16" s="12"/>
      <c r="B16" s="8"/>
      <c r="C16" s="39" t="s">
        <v>61</v>
      </c>
      <c r="D16" s="10"/>
      <c r="E16" s="217">
        <v>139758.58000000002</v>
      </c>
      <c r="F16" s="218">
        <v>295202.52</v>
      </c>
      <c r="G16" s="217">
        <v>295202.51</v>
      </c>
      <c r="H16" s="218">
        <v>294215.39</v>
      </c>
      <c r="I16" s="217">
        <v>294215.39</v>
      </c>
      <c r="J16" s="218">
        <v>269431.71000000002</v>
      </c>
      <c r="K16" s="217">
        <v>130660.26000000001</v>
      </c>
      <c r="L16" s="218">
        <v>264767.91000000003</v>
      </c>
      <c r="M16" s="217">
        <v>419650.10000000003</v>
      </c>
      <c r="N16" s="218">
        <v>419650.10000000003</v>
      </c>
      <c r="O16" s="217">
        <v>288989.84000000003</v>
      </c>
      <c r="P16" s="248">
        <v>154882.19</v>
      </c>
      <c r="Q16" s="98"/>
      <c r="R16" s="98"/>
      <c r="S16" s="98"/>
    </row>
    <row r="17" spans="1:16" ht="15.75" thickBot="1">
      <c r="A17" s="12" t="e">
        <f>#REF!+1</f>
        <v>#REF!</v>
      </c>
      <c r="B17" s="4"/>
      <c r="C17" s="19" t="s">
        <v>11</v>
      </c>
      <c r="D17" s="6"/>
      <c r="E17" s="17">
        <f t="shared" ref="E17:P17" si="3">E9+E10+E11+E15+E14+E16</f>
        <v>262093660.54500005</v>
      </c>
      <c r="F17" s="102">
        <f t="shared" si="3"/>
        <v>261081832.94500008</v>
      </c>
      <c r="G17" s="17">
        <f t="shared" si="3"/>
        <v>260294581.94499999</v>
      </c>
      <c r="H17" s="102">
        <f t="shared" si="3"/>
        <v>258784757.315</v>
      </c>
      <c r="I17" s="17">
        <f t="shared" si="3"/>
        <v>258841737.35499999</v>
      </c>
      <c r="J17" s="102">
        <f t="shared" si="3"/>
        <v>257686344.94500008</v>
      </c>
      <c r="K17" s="17">
        <f t="shared" si="3"/>
        <v>251529141.49500003</v>
      </c>
      <c r="L17" s="102">
        <f t="shared" si="3"/>
        <v>249558119.45500019</v>
      </c>
      <c r="M17" s="17">
        <f t="shared" si="3"/>
        <v>247943738.3850002</v>
      </c>
      <c r="N17" s="102">
        <f t="shared" si="3"/>
        <v>246653204.49500006</v>
      </c>
      <c r="O17" s="17">
        <f t="shared" si="3"/>
        <v>246011505.97999999</v>
      </c>
      <c r="P17" s="104">
        <f t="shared" si="3"/>
        <v>245336486.81</v>
      </c>
    </row>
    <row r="18" spans="1:16" ht="15.75" thickTop="1">
      <c r="A18" s="12" t="e">
        <f t="shared" si="0"/>
        <v>#REF!</v>
      </c>
      <c r="B18" s="8"/>
      <c r="C18" s="9" t="s">
        <v>12</v>
      </c>
      <c r="D18" s="20">
        <f>'3.15 '!S18</f>
        <v>9.5291000000000001E-2</v>
      </c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11"/>
    </row>
    <row r="19" spans="1:16">
      <c r="A19" s="12" t="e">
        <f t="shared" si="0"/>
        <v>#REF!</v>
      </c>
      <c r="B19" s="8"/>
      <c r="C19" s="9" t="s">
        <v>14</v>
      </c>
      <c r="D19" s="10"/>
      <c r="E19" s="21">
        <f t="shared" ref="E19:P19" si="4">ROUND($D$18/12,6)</f>
        <v>7.9410000000000001E-3</v>
      </c>
      <c r="F19" s="21">
        <f t="shared" si="4"/>
        <v>7.9410000000000001E-3</v>
      </c>
      <c r="G19" s="21">
        <f t="shared" si="4"/>
        <v>7.9410000000000001E-3</v>
      </c>
      <c r="H19" s="21">
        <f t="shared" si="4"/>
        <v>7.9410000000000001E-3</v>
      </c>
      <c r="I19" s="21">
        <f t="shared" si="4"/>
        <v>7.9410000000000001E-3</v>
      </c>
      <c r="J19" s="21">
        <f t="shared" si="4"/>
        <v>7.9410000000000001E-3</v>
      </c>
      <c r="K19" s="21">
        <f t="shared" si="4"/>
        <v>7.9410000000000001E-3</v>
      </c>
      <c r="L19" s="21">
        <f t="shared" si="4"/>
        <v>7.9410000000000001E-3</v>
      </c>
      <c r="M19" s="21">
        <f t="shared" si="4"/>
        <v>7.9410000000000001E-3</v>
      </c>
      <c r="N19" s="21">
        <f t="shared" si="4"/>
        <v>7.9410000000000001E-3</v>
      </c>
      <c r="O19" s="21">
        <f t="shared" si="4"/>
        <v>7.9410000000000001E-3</v>
      </c>
      <c r="P19" s="21">
        <f t="shared" si="4"/>
        <v>7.9410000000000001E-3</v>
      </c>
    </row>
    <row r="20" spans="1:16" s="36" customFormat="1">
      <c r="A20" s="12"/>
      <c r="B20" s="8"/>
      <c r="C20" s="73" t="s">
        <v>95</v>
      </c>
      <c r="D20" s="10"/>
      <c r="E20" s="237">
        <f>(E9+SUM(E10:E14))*E19</f>
        <v>2078472.6326149055</v>
      </c>
      <c r="F20" s="237">
        <f t="shared" ref="F20:P20" si="5">(F9+SUM(F10:F14))*F19</f>
        <v>2069649.8060850156</v>
      </c>
      <c r="G20" s="237">
        <f t="shared" si="5"/>
        <v>2063967.3255092849</v>
      </c>
      <c r="H20" s="237">
        <f t="shared" si="5"/>
        <v>2051466.0235368751</v>
      </c>
      <c r="I20" s="237">
        <f t="shared" si="5"/>
        <v>2052795.8327672551</v>
      </c>
      <c r="J20" s="237">
        <f t="shared" si="5"/>
        <v>2043256.7616277956</v>
      </c>
      <c r="K20" s="237">
        <f t="shared" si="5"/>
        <v>1994628.6601998154</v>
      </c>
      <c r="L20" s="237">
        <f t="shared" si="5"/>
        <v>1978045.9357982867</v>
      </c>
      <c r="M20" s="237">
        <f t="shared" si="5"/>
        <v>1964715.2607773866</v>
      </c>
      <c r="N20" s="237">
        <f t="shared" si="5"/>
        <v>1955340.6566418456</v>
      </c>
      <c r="O20" s="237">
        <f t="shared" si="5"/>
        <v>1950742.5830250001</v>
      </c>
      <c r="P20" s="237">
        <f t="shared" si="5"/>
        <v>1945548.1605180001</v>
      </c>
    </row>
    <row r="21" spans="1:16" s="36" customFormat="1">
      <c r="A21" s="12"/>
      <c r="B21" s="8"/>
      <c r="C21" s="219" t="s">
        <v>99</v>
      </c>
      <c r="D21" s="220"/>
      <c r="E21" s="238">
        <f>E19*SUM(E15+E16)</f>
        <v>2813.1257729400004</v>
      </c>
      <c r="F21" s="238">
        <f t="shared" ref="F21:P21" si="6">F19*SUM(F15+F16)</f>
        <v>3601.0293312300005</v>
      </c>
      <c r="G21" s="238">
        <f t="shared" si="6"/>
        <v>3031.94971596</v>
      </c>
      <c r="H21" s="238">
        <f t="shared" si="6"/>
        <v>3543.7343015400006</v>
      </c>
      <c r="I21" s="238">
        <f t="shared" si="6"/>
        <v>2666.4035688000004</v>
      </c>
      <c r="J21" s="238">
        <f t="shared" si="6"/>
        <v>3030.5035804500003</v>
      </c>
      <c r="K21" s="238">
        <f t="shared" si="6"/>
        <v>2764.2524119800005</v>
      </c>
      <c r="L21" s="238">
        <f t="shared" si="6"/>
        <v>3695.0907938700007</v>
      </c>
      <c r="M21" s="238">
        <f t="shared" si="6"/>
        <v>4205.9657379</v>
      </c>
      <c r="N21" s="238">
        <f t="shared" si="6"/>
        <v>3332.4402529500003</v>
      </c>
      <c r="O21" s="238">
        <f t="shared" si="6"/>
        <v>2834.7859621800003</v>
      </c>
      <c r="P21" s="238">
        <f t="shared" si="6"/>
        <v>2668.8812402100002</v>
      </c>
    </row>
    <row r="22" spans="1:16">
      <c r="A22" s="12" t="e">
        <f>A19+1</f>
        <v>#REF!</v>
      </c>
      <c r="B22" s="8"/>
      <c r="C22" s="39" t="s">
        <v>98</v>
      </c>
      <c r="D22" s="10"/>
      <c r="E22" s="13">
        <f t="shared" ref="E22:P22" si="7">ROUND(E17*E19,2)</f>
        <v>2081285.76</v>
      </c>
      <c r="F22" s="27">
        <f t="shared" si="7"/>
        <v>2073250.84</v>
      </c>
      <c r="G22" s="13">
        <f t="shared" si="7"/>
        <v>2066999.28</v>
      </c>
      <c r="H22" s="27">
        <f t="shared" si="7"/>
        <v>2055009.76</v>
      </c>
      <c r="I22" s="13">
        <f t="shared" si="7"/>
        <v>2055462.24</v>
      </c>
      <c r="J22" s="27">
        <f t="shared" si="7"/>
        <v>2046287.27</v>
      </c>
      <c r="K22" s="13">
        <f t="shared" si="7"/>
        <v>1997392.91</v>
      </c>
      <c r="L22" s="27">
        <f t="shared" si="7"/>
        <v>1981741.03</v>
      </c>
      <c r="M22" s="13">
        <f t="shared" si="7"/>
        <v>1968921.23</v>
      </c>
      <c r="N22" s="27">
        <f t="shared" si="7"/>
        <v>1958673.1</v>
      </c>
      <c r="O22" s="13">
        <f t="shared" si="7"/>
        <v>1953577.37</v>
      </c>
      <c r="P22" s="31">
        <f t="shared" si="7"/>
        <v>1948217.04</v>
      </c>
    </row>
    <row r="23" spans="1:16">
      <c r="A23" s="12" t="e">
        <f t="shared" si="0"/>
        <v>#REF!</v>
      </c>
      <c r="B23" s="8"/>
      <c r="C23" s="9" t="s">
        <v>15</v>
      </c>
      <c r="D23" s="10"/>
      <c r="E23" s="22">
        <v>0</v>
      </c>
      <c r="F23" s="105">
        <v>0</v>
      </c>
      <c r="G23" s="22">
        <v>0</v>
      </c>
      <c r="H23" s="105">
        <v>0</v>
      </c>
      <c r="I23" s="22">
        <v>0</v>
      </c>
      <c r="J23" s="105">
        <v>0</v>
      </c>
      <c r="K23" s="22">
        <v>0</v>
      </c>
      <c r="L23" s="105">
        <v>0</v>
      </c>
      <c r="M23" s="22">
        <v>0</v>
      </c>
      <c r="N23" s="105">
        <v>0</v>
      </c>
      <c r="O23" s="22">
        <v>0</v>
      </c>
      <c r="P23" s="112">
        <v>0</v>
      </c>
    </row>
    <row r="24" spans="1:16">
      <c r="A24" s="12" t="e">
        <f t="shared" si="0"/>
        <v>#REF!</v>
      </c>
      <c r="B24" s="8"/>
      <c r="C24" s="9" t="s">
        <v>16</v>
      </c>
      <c r="D24" s="10"/>
      <c r="E24" s="13">
        <v>100904</v>
      </c>
      <c r="F24" s="27">
        <v>77335.319999999963</v>
      </c>
      <c r="G24" s="13">
        <v>61105</v>
      </c>
      <c r="H24" s="27">
        <v>93808</v>
      </c>
      <c r="I24" s="13">
        <v>126801</v>
      </c>
      <c r="J24" s="27">
        <v>110596</v>
      </c>
      <c r="K24" s="13">
        <v>83786</v>
      </c>
      <c r="L24" s="27">
        <v>32059</v>
      </c>
      <c r="M24" s="13">
        <v>156164.52999999997</v>
      </c>
      <c r="N24" s="27">
        <v>118387</v>
      </c>
      <c r="O24" s="13">
        <v>66904</v>
      </c>
      <c r="P24" s="31">
        <v>29357</v>
      </c>
    </row>
    <row r="25" spans="1:16">
      <c r="A25" s="12" t="e">
        <f t="shared" si="0"/>
        <v>#REF!</v>
      </c>
      <c r="B25" s="8"/>
      <c r="C25" s="9" t="s">
        <v>17</v>
      </c>
      <c r="D25" s="10"/>
      <c r="E25" s="13">
        <v>42031</v>
      </c>
      <c r="F25" s="27">
        <v>18349.390000000003</v>
      </c>
      <c r="G25" s="13">
        <v>14615</v>
      </c>
      <c r="H25" s="27">
        <v>30551</v>
      </c>
      <c r="I25" s="13">
        <v>35046</v>
      </c>
      <c r="J25" s="27">
        <v>48658</v>
      </c>
      <c r="K25" s="13">
        <v>47049</v>
      </c>
      <c r="L25" s="27">
        <v>8932</v>
      </c>
      <c r="M25" s="13">
        <v>28921.690000000006</v>
      </c>
      <c r="N25" s="27">
        <v>24166</v>
      </c>
      <c r="O25" s="13">
        <v>29701</v>
      </c>
      <c r="P25" s="31">
        <v>23837</v>
      </c>
    </row>
    <row r="26" spans="1:16">
      <c r="A26" s="12" t="e">
        <f t="shared" si="0"/>
        <v>#REF!</v>
      </c>
      <c r="B26" s="8"/>
      <c r="C26" s="9" t="s">
        <v>18</v>
      </c>
      <c r="D26" s="10"/>
      <c r="E26" s="22">
        <v>0</v>
      </c>
      <c r="F26" s="105">
        <v>0</v>
      </c>
      <c r="G26" s="22">
        <v>0</v>
      </c>
      <c r="H26" s="105">
        <v>0</v>
      </c>
      <c r="I26" s="22">
        <v>0</v>
      </c>
      <c r="J26" s="105">
        <v>0</v>
      </c>
      <c r="K26" s="22">
        <v>0</v>
      </c>
      <c r="L26" s="105">
        <v>0</v>
      </c>
      <c r="M26" s="22">
        <v>0</v>
      </c>
      <c r="N26" s="105">
        <v>0</v>
      </c>
      <c r="O26" s="22">
        <v>0</v>
      </c>
      <c r="P26" s="112">
        <v>0</v>
      </c>
    </row>
    <row r="27" spans="1:16">
      <c r="A27" s="12" t="e">
        <f t="shared" si="0"/>
        <v>#REF!</v>
      </c>
      <c r="B27" s="8"/>
      <c r="C27" s="9" t="s">
        <v>19</v>
      </c>
      <c r="D27" s="10"/>
      <c r="E27" s="13">
        <v>0</v>
      </c>
      <c r="F27" s="27">
        <v>0</v>
      </c>
      <c r="G27" s="13">
        <v>0</v>
      </c>
      <c r="H27" s="27">
        <v>0</v>
      </c>
      <c r="I27" s="13">
        <v>0</v>
      </c>
      <c r="J27" s="27">
        <v>0</v>
      </c>
      <c r="K27" s="13">
        <v>0</v>
      </c>
      <c r="L27" s="27">
        <v>0</v>
      </c>
      <c r="M27" s="13">
        <v>0</v>
      </c>
      <c r="N27" s="27">
        <v>0</v>
      </c>
      <c r="O27" s="13">
        <v>0</v>
      </c>
      <c r="P27" s="31">
        <v>0</v>
      </c>
    </row>
    <row r="28" spans="1:16">
      <c r="A28" s="12" t="e">
        <f t="shared" si="0"/>
        <v>#REF!</v>
      </c>
      <c r="B28" s="8"/>
      <c r="C28" s="9" t="s">
        <v>20</v>
      </c>
      <c r="D28" s="10"/>
      <c r="E28" s="13">
        <v>0</v>
      </c>
      <c r="F28" s="27">
        <v>0</v>
      </c>
      <c r="G28" s="13">
        <v>0</v>
      </c>
      <c r="H28" s="27">
        <v>0</v>
      </c>
      <c r="I28" s="13">
        <v>0</v>
      </c>
      <c r="J28" s="27">
        <v>0</v>
      </c>
      <c r="K28" s="13">
        <v>0</v>
      </c>
      <c r="L28" s="27">
        <v>0</v>
      </c>
      <c r="M28" s="13">
        <v>0</v>
      </c>
      <c r="N28" s="27">
        <v>0</v>
      </c>
      <c r="O28" s="13">
        <v>0</v>
      </c>
      <c r="P28" s="31">
        <v>0</v>
      </c>
    </row>
    <row r="29" spans="1:16" s="36" customFormat="1">
      <c r="A29" s="12"/>
      <c r="B29" s="8"/>
      <c r="C29" s="239" t="s">
        <v>101</v>
      </c>
      <c r="D29" s="240"/>
      <c r="E29" s="241"/>
      <c r="F29" s="242"/>
      <c r="G29" s="241"/>
      <c r="H29" s="242"/>
      <c r="I29" s="241"/>
      <c r="J29" s="242"/>
      <c r="K29" s="241">
        <f>-65288</f>
        <v>-65288</v>
      </c>
      <c r="L29" s="242"/>
      <c r="M29" s="241"/>
      <c r="N29" s="242"/>
      <c r="O29" s="241"/>
      <c r="P29" s="249"/>
    </row>
    <row r="30" spans="1:16">
      <c r="A30" s="12" t="e">
        <f>A28+1</f>
        <v>#REF!</v>
      </c>
      <c r="B30" s="8"/>
      <c r="C30" s="9" t="s">
        <v>21</v>
      </c>
      <c r="D30" s="10"/>
      <c r="E30" s="13">
        <v>5991</v>
      </c>
      <c r="F30" s="27">
        <v>5991</v>
      </c>
      <c r="G30" s="13">
        <v>5991</v>
      </c>
      <c r="H30" s="27">
        <v>18796.494166666664</v>
      </c>
      <c r="I30" s="13">
        <v>18796.494166666664</v>
      </c>
      <c r="J30" s="27">
        <v>18796.494166666664</v>
      </c>
      <c r="K30" s="13">
        <v>18796.494166666664</v>
      </c>
      <c r="L30" s="27">
        <v>18796.494166666664</v>
      </c>
      <c r="M30" s="13">
        <v>18796.494166666664</v>
      </c>
      <c r="N30" s="27">
        <v>18796.494166666664</v>
      </c>
      <c r="O30" s="13">
        <v>18796.494166666664</v>
      </c>
      <c r="P30" s="31">
        <v>18796.494166666664</v>
      </c>
    </row>
    <row r="31" spans="1:16">
      <c r="A31" s="12" t="e">
        <f t="shared" si="0"/>
        <v>#REF!</v>
      </c>
      <c r="B31" s="8"/>
      <c r="C31" s="9" t="s">
        <v>22</v>
      </c>
      <c r="D31" s="10"/>
      <c r="E31" s="13">
        <v>21174</v>
      </c>
      <c r="F31" s="27">
        <v>30709.999999999996</v>
      </c>
      <c r="G31" s="13">
        <v>24820</v>
      </c>
      <c r="H31" s="27">
        <v>39403.53043478261</v>
      </c>
      <c r="I31" s="13">
        <v>40666.20102214651</v>
      </c>
      <c r="J31" s="27">
        <v>45994.229137199436</v>
      </c>
      <c r="K31" s="13">
        <v>24820.183783783785</v>
      </c>
      <c r="L31" s="27">
        <v>22857.008298507462</v>
      </c>
      <c r="M31" s="13">
        <v>37300.476021314389</v>
      </c>
      <c r="N31" s="27">
        <v>41857.975247524751</v>
      </c>
      <c r="O31" s="13">
        <v>28556</v>
      </c>
      <c r="P31" s="31">
        <v>19164</v>
      </c>
    </row>
    <row r="32" spans="1:16">
      <c r="A32" s="12" t="e">
        <f>A31+1</f>
        <v>#REF!</v>
      </c>
      <c r="B32" s="8"/>
      <c r="C32" s="9" t="s">
        <v>23</v>
      </c>
      <c r="D32" s="10"/>
      <c r="E32" s="13">
        <v>367</v>
      </c>
      <c r="F32" s="27">
        <v>532</v>
      </c>
      <c r="G32" s="13">
        <v>430.00000000000006</v>
      </c>
      <c r="H32" s="27">
        <v>677.22241681260948</v>
      </c>
      <c r="I32" s="13">
        <v>708.44974446337312</v>
      </c>
      <c r="J32" s="27">
        <v>796.10749646393208</v>
      </c>
      <c r="K32" s="13">
        <v>429.58378378378376</v>
      </c>
      <c r="L32" s="27">
        <v>396.06567164179103</v>
      </c>
      <c r="M32" s="13">
        <v>645.39253996447599</v>
      </c>
      <c r="N32" s="27">
        <v>725.06930693069307</v>
      </c>
      <c r="O32" s="13">
        <v>362</v>
      </c>
      <c r="P32" s="31">
        <v>243</v>
      </c>
    </row>
    <row r="33" spans="1:17">
      <c r="A33" s="12" t="e">
        <f t="shared" si="0"/>
        <v>#REF!</v>
      </c>
      <c r="B33" s="8"/>
      <c r="C33" s="9" t="s">
        <v>24</v>
      </c>
      <c r="D33" s="10"/>
      <c r="E33" s="13">
        <v>0</v>
      </c>
      <c r="F33" s="27">
        <v>0</v>
      </c>
      <c r="G33" s="13">
        <v>0</v>
      </c>
      <c r="H33" s="27">
        <v>0</v>
      </c>
      <c r="I33" s="13">
        <v>0</v>
      </c>
      <c r="J33" s="27">
        <v>0</v>
      </c>
      <c r="K33" s="13">
        <v>0</v>
      </c>
      <c r="L33" s="27">
        <v>0</v>
      </c>
      <c r="M33" s="13">
        <v>0</v>
      </c>
      <c r="N33" s="27">
        <v>0</v>
      </c>
      <c r="O33" s="13">
        <v>0</v>
      </c>
      <c r="P33" s="31">
        <v>0</v>
      </c>
    </row>
    <row r="34" spans="1:17">
      <c r="A34" s="12" t="e">
        <f t="shared" si="0"/>
        <v>#REF!</v>
      </c>
      <c r="B34" s="8"/>
      <c r="C34" s="9" t="s">
        <v>25</v>
      </c>
      <c r="D34" s="10"/>
      <c r="E34" s="23">
        <v>0</v>
      </c>
      <c r="F34" s="106">
        <v>0</v>
      </c>
      <c r="G34" s="23">
        <v>0</v>
      </c>
      <c r="H34" s="106">
        <v>0</v>
      </c>
      <c r="I34" s="23">
        <v>0</v>
      </c>
      <c r="J34" s="106">
        <v>0</v>
      </c>
      <c r="K34" s="23">
        <v>0</v>
      </c>
      <c r="L34" s="106">
        <v>0</v>
      </c>
      <c r="M34" s="23">
        <v>0</v>
      </c>
      <c r="N34" s="106">
        <v>0</v>
      </c>
      <c r="O34" s="23">
        <v>0</v>
      </c>
      <c r="P34" s="113">
        <v>0</v>
      </c>
    </row>
    <row r="35" spans="1:17" ht="15.75" thickBot="1">
      <c r="A35" s="12" t="e">
        <f t="shared" si="0"/>
        <v>#REF!</v>
      </c>
      <c r="B35" s="4"/>
      <c r="C35" s="19" t="s">
        <v>26</v>
      </c>
      <c r="D35" s="6"/>
      <c r="E35" s="17">
        <f t="shared" ref="E35:N35" si="8">SUM(E22:E34)</f>
        <v>2251752.7599999998</v>
      </c>
      <c r="F35" s="102">
        <f t="shared" si="8"/>
        <v>2206168.5500000003</v>
      </c>
      <c r="G35" s="17">
        <f t="shared" si="8"/>
        <v>2173960.2800000003</v>
      </c>
      <c r="H35" s="102">
        <f t="shared" si="8"/>
        <v>2238246.0070182616</v>
      </c>
      <c r="I35" s="17">
        <f t="shared" si="8"/>
        <v>2277480.384933277</v>
      </c>
      <c r="J35" s="102">
        <f t="shared" si="8"/>
        <v>2271128.1008003303</v>
      </c>
      <c r="K35" s="17">
        <f t="shared" si="8"/>
        <v>2106986.1717342343</v>
      </c>
      <c r="L35" s="102">
        <f t="shared" si="8"/>
        <v>2064781.5981368159</v>
      </c>
      <c r="M35" s="17">
        <f t="shared" si="8"/>
        <v>2210749.8127279454</v>
      </c>
      <c r="N35" s="102">
        <f t="shared" si="8"/>
        <v>2162605.6387211219</v>
      </c>
      <c r="O35" s="17">
        <f t="shared" ref="O35:P35" si="9">SUM(O22:O34)</f>
        <v>2097896.8641666668</v>
      </c>
      <c r="P35" s="104">
        <f t="shared" si="9"/>
        <v>2039614.5341666667</v>
      </c>
    </row>
    <row r="36" spans="1:17" ht="15.75" thickTop="1">
      <c r="A36" s="12" t="e">
        <f t="shared" si="0"/>
        <v>#REF!</v>
      </c>
      <c r="B36" s="8"/>
      <c r="C36" s="9" t="s">
        <v>27</v>
      </c>
      <c r="D36" s="10"/>
      <c r="E36" s="24">
        <v>0</v>
      </c>
      <c r="F36" s="107">
        <v>0</v>
      </c>
      <c r="G36" s="24">
        <v>0</v>
      </c>
      <c r="H36" s="107">
        <v>0</v>
      </c>
      <c r="I36" s="24">
        <v>0</v>
      </c>
      <c r="J36" s="107">
        <v>0</v>
      </c>
      <c r="K36" s="24">
        <v>0</v>
      </c>
      <c r="L36" s="107">
        <v>0</v>
      </c>
      <c r="M36" s="24">
        <v>0</v>
      </c>
      <c r="N36" s="107">
        <v>0</v>
      </c>
      <c r="O36" s="24">
        <v>0</v>
      </c>
      <c r="P36" s="114">
        <v>0</v>
      </c>
    </row>
    <row r="37" spans="1:17">
      <c r="A37" s="12" t="e">
        <f>A36+1</f>
        <v>#REF!</v>
      </c>
      <c r="B37" s="8"/>
      <c r="C37" s="39" t="s">
        <v>28</v>
      </c>
      <c r="D37" s="10"/>
      <c r="E37" s="13">
        <v>70287</v>
      </c>
      <c r="F37" s="27">
        <v>51910.759999999995</v>
      </c>
      <c r="G37" s="13">
        <v>6035</v>
      </c>
      <c r="H37" s="68">
        <v>22414.86</v>
      </c>
      <c r="I37" s="93">
        <v>150462</v>
      </c>
      <c r="J37" s="27">
        <v>57160</v>
      </c>
      <c r="K37" s="13">
        <v>119595.35000000002</v>
      </c>
      <c r="L37" s="27">
        <v>260210</v>
      </c>
      <c r="M37" s="13">
        <v>-11254.579999999994</v>
      </c>
      <c r="N37" s="27">
        <v>125093</v>
      </c>
      <c r="O37" s="13">
        <v>51988</v>
      </c>
      <c r="P37" s="31">
        <v>56492</v>
      </c>
    </row>
    <row r="38" spans="1:17" s="36" customFormat="1">
      <c r="A38" s="12"/>
      <c r="B38" s="8"/>
      <c r="C38" s="239" t="s">
        <v>100</v>
      </c>
      <c r="D38" s="240"/>
      <c r="E38" s="241"/>
      <c r="F38" s="242"/>
      <c r="G38" s="241"/>
      <c r="H38" s="242"/>
      <c r="I38" s="243">
        <v>-131958</v>
      </c>
      <c r="J38" s="242"/>
      <c r="K38" s="241"/>
      <c r="L38" s="242"/>
      <c r="M38" s="241"/>
      <c r="N38" s="242"/>
      <c r="O38" s="241"/>
      <c r="P38" s="249"/>
    </row>
    <row r="39" spans="1:17" ht="15.75" thickBot="1">
      <c r="A39" s="12" t="e">
        <f>A37+1</f>
        <v>#REF!</v>
      </c>
      <c r="B39" s="4"/>
      <c r="C39" s="19" t="s">
        <v>29</v>
      </c>
      <c r="D39" s="6"/>
      <c r="E39" s="17">
        <f>E36+E37</f>
        <v>70287</v>
      </c>
      <c r="F39" s="102">
        <f>F36+F37</f>
        <v>51910.759999999995</v>
      </c>
      <c r="G39" s="17">
        <f>G36+G37</f>
        <v>6035</v>
      </c>
      <c r="H39" s="102">
        <f>H36+H37</f>
        <v>22414.86</v>
      </c>
      <c r="I39" s="17">
        <f>I36+I37+I38</f>
        <v>18504</v>
      </c>
      <c r="J39" s="102">
        <f t="shared" ref="J39:P39" si="10">J36+J37</f>
        <v>57160</v>
      </c>
      <c r="K39" s="17">
        <f t="shared" si="10"/>
        <v>119595.35000000002</v>
      </c>
      <c r="L39" s="102">
        <f t="shared" si="10"/>
        <v>260210</v>
      </c>
      <c r="M39" s="17">
        <f t="shared" si="10"/>
        <v>-11254.579999999994</v>
      </c>
      <c r="N39" s="102">
        <f t="shared" si="10"/>
        <v>125093</v>
      </c>
      <c r="O39" s="17">
        <f t="shared" si="10"/>
        <v>51988</v>
      </c>
      <c r="P39" s="104">
        <f t="shared" si="10"/>
        <v>56492</v>
      </c>
    </row>
    <row r="40" spans="1:17" ht="15.75" thickTop="1">
      <c r="A40" s="12" t="e">
        <f t="shared" si="0"/>
        <v>#REF!</v>
      </c>
      <c r="B40" s="8"/>
      <c r="C40" s="9" t="s">
        <v>30</v>
      </c>
      <c r="D40" s="10"/>
      <c r="E40" s="13">
        <f>ROUND((E5+E6-$D$65)*0.0305/12,0)</f>
        <v>934710</v>
      </c>
      <c r="F40" s="27">
        <f>ROUND((F5+F6-$D$65)*0.0305/12,0)</f>
        <v>934875</v>
      </c>
      <c r="G40" s="13">
        <f t="shared" ref="G40:P40" si="11">ROUND((G5+G6-$D$66)*0.0305/12,0)</f>
        <v>931709</v>
      </c>
      <c r="H40" s="27">
        <f t="shared" si="11"/>
        <v>928953</v>
      </c>
      <c r="I40" s="13">
        <f t="shared" si="11"/>
        <v>932215</v>
      </c>
      <c r="J40" s="27">
        <f t="shared" si="11"/>
        <v>932268</v>
      </c>
      <c r="K40" s="13">
        <f t="shared" si="11"/>
        <v>915526</v>
      </c>
      <c r="L40" s="27">
        <f t="shared" si="11"/>
        <v>912809</v>
      </c>
      <c r="M40" s="13">
        <f t="shared" si="11"/>
        <v>912809</v>
      </c>
      <c r="N40" s="27">
        <f t="shared" si="11"/>
        <v>912815</v>
      </c>
      <c r="O40" s="13">
        <f t="shared" si="11"/>
        <v>912827</v>
      </c>
      <c r="P40" s="31">
        <f t="shared" si="11"/>
        <v>915710</v>
      </c>
    </row>
    <row r="41" spans="1:17">
      <c r="A41" s="12" t="e">
        <f t="shared" si="0"/>
        <v>#REF!</v>
      </c>
      <c r="B41" s="8"/>
      <c r="C41" s="9" t="s">
        <v>31</v>
      </c>
      <c r="D41" s="10"/>
      <c r="E41" s="13">
        <f>$D$65*0.125/12</f>
        <v>85313.702499999999</v>
      </c>
      <c r="F41" s="27">
        <f>$D$65*0.125/12</f>
        <v>85313.702499999999</v>
      </c>
      <c r="G41" s="13">
        <f t="shared" ref="G41:P41" si="12">$D$66*0.125/12</f>
        <v>97608.25</v>
      </c>
      <c r="H41" s="27">
        <f t="shared" si="12"/>
        <v>97608.25</v>
      </c>
      <c r="I41" s="13">
        <f t="shared" si="12"/>
        <v>97608.25</v>
      </c>
      <c r="J41" s="27">
        <f t="shared" si="12"/>
        <v>97608.25</v>
      </c>
      <c r="K41" s="13">
        <f t="shared" si="12"/>
        <v>97608.25</v>
      </c>
      <c r="L41" s="27">
        <f t="shared" si="12"/>
        <v>97608.25</v>
      </c>
      <c r="M41" s="13">
        <f t="shared" si="12"/>
        <v>97608.25</v>
      </c>
      <c r="N41" s="27">
        <f t="shared" si="12"/>
        <v>97608.25</v>
      </c>
      <c r="O41" s="13">
        <f t="shared" si="12"/>
        <v>97608.25</v>
      </c>
      <c r="P41" s="31">
        <f t="shared" si="12"/>
        <v>97608.25</v>
      </c>
    </row>
    <row r="42" spans="1:17">
      <c r="A42" s="12" t="e">
        <f t="shared" si="0"/>
        <v>#REF!</v>
      </c>
      <c r="B42" s="8"/>
      <c r="C42" s="9" t="s">
        <v>32</v>
      </c>
      <c r="D42" s="10"/>
      <c r="E42" s="13">
        <f>ROUND((E5+E6)*('Property Tax'!$B$1*'Property Tax'!$B$3*'Property Tax'!$B$5)/12,0)</f>
        <v>19553</v>
      </c>
      <c r="F42" s="27">
        <f>ROUND((F5+F6)*('Property Tax'!$B$1*'Property Tax'!$B$3*'Property Tax'!$B$5)/12,0)</f>
        <v>19556</v>
      </c>
      <c r="G42" s="13">
        <f>ROUND((G5+G6)*('Property Tax'!$B$1*'Property Tax'!$B$3*'Property Tax'!$B$5)/12,0)</f>
        <v>19553</v>
      </c>
      <c r="H42" s="27">
        <f>ROUND((H5+H6)*('Property Tax'!$B$1*'Property Tax'!$B$3*'Property Tax'!$B$5)/12,0)</f>
        <v>19496</v>
      </c>
      <c r="I42" s="13">
        <f>ROUND((I5+I6)*('Property Tax'!$B$1*'Property Tax'!$B$3*'Property Tax'!$B$5)/12,0)</f>
        <v>19563</v>
      </c>
      <c r="J42" s="27">
        <f>ROUND((J5+J6)*('Property Tax'!$B$1*'Property Tax'!$B$3*'Property Tax'!$B$5)/12,0)</f>
        <v>19564</v>
      </c>
      <c r="K42" s="13">
        <f>ROUND((K5+K6)*('Property Tax'!$B$1*'Property Tax'!$B$3*'Property Tax'!$B$5)/12,0)</f>
        <v>19222</v>
      </c>
      <c r="L42" s="27">
        <f>ROUND((L5+L6)*('Property Tax'!$B$1*'Property Tax'!$B$3*'Property Tax'!$B$5)/12,0)</f>
        <v>19166</v>
      </c>
      <c r="M42" s="13">
        <f>ROUND((M5+M6)*('Property Tax'!$B$1*'Property Tax'!$B$3*'Property Tax'!$B$5)/12,0)</f>
        <v>19166</v>
      </c>
      <c r="N42" s="27">
        <f>ROUND((N5+N6)*('Property Tax'!$B$1*'Property Tax'!$B$3*'Property Tax'!$B$5)/12,0)</f>
        <v>19166</v>
      </c>
      <c r="O42" s="13">
        <f>ROUND((O5+O6)*('Property Tax'!$B$1*'Property Tax'!$B$3*'Property Tax'!$B$5)/12,0)</f>
        <v>19166</v>
      </c>
      <c r="P42" s="31">
        <f>ROUND((P5+P6)*('Property Tax'!$B$1*'Property Tax'!$B$3*'Property Tax'!$B$5)/12,0)</f>
        <v>19225</v>
      </c>
    </row>
    <row r="43" spans="1:17" ht="15.75" thickBot="1">
      <c r="A43" s="12" t="e">
        <f t="shared" si="0"/>
        <v>#REF!</v>
      </c>
      <c r="B43" s="4"/>
      <c r="C43" s="19" t="s">
        <v>33</v>
      </c>
      <c r="D43" s="6"/>
      <c r="E43" s="44">
        <f t="shared" ref="E43:N43" si="13">SUM(E40:E42)</f>
        <v>1039576.7025</v>
      </c>
      <c r="F43" s="108">
        <f t="shared" si="13"/>
        <v>1039744.7025</v>
      </c>
      <c r="G43" s="44">
        <f t="shared" si="13"/>
        <v>1048870.25</v>
      </c>
      <c r="H43" s="108">
        <f t="shared" si="13"/>
        <v>1046057.25</v>
      </c>
      <c r="I43" s="118">
        <f t="shared" si="13"/>
        <v>1049386.25</v>
      </c>
      <c r="J43" s="108">
        <f t="shared" si="13"/>
        <v>1049440.25</v>
      </c>
      <c r="K43" s="118">
        <f t="shared" si="13"/>
        <v>1032356.25</v>
      </c>
      <c r="L43" s="108">
        <f t="shared" si="13"/>
        <v>1029583.25</v>
      </c>
      <c r="M43" s="118">
        <f t="shared" si="13"/>
        <v>1029583.25</v>
      </c>
      <c r="N43" s="108">
        <f t="shared" si="13"/>
        <v>1029589.25</v>
      </c>
      <c r="O43" s="118">
        <f t="shared" ref="O43:P43" si="14">SUM(O40:O42)</f>
        <v>1029601.25</v>
      </c>
      <c r="P43" s="250">
        <f t="shared" si="14"/>
        <v>1032543.25</v>
      </c>
    </row>
    <row r="44" spans="1:17" ht="15.75" thickBot="1">
      <c r="A44" s="25" t="e">
        <f t="shared" si="0"/>
        <v>#REF!</v>
      </c>
      <c r="B44" s="4"/>
      <c r="C44" s="19" t="s">
        <v>35</v>
      </c>
      <c r="D44" s="6"/>
      <c r="E44" s="252">
        <f t="shared" ref="E44:P44" si="15">SUM(E35+E39+E43)</f>
        <v>3361616.4624999999</v>
      </c>
      <c r="F44" s="253">
        <f t="shared" si="15"/>
        <v>3297824.0125000002</v>
      </c>
      <c r="G44" s="252">
        <f t="shared" si="15"/>
        <v>3228865.5300000003</v>
      </c>
      <c r="H44" s="254">
        <f t="shared" si="15"/>
        <v>3306718.1170182615</v>
      </c>
      <c r="I44" s="252">
        <f t="shared" si="15"/>
        <v>3345370.634933277</v>
      </c>
      <c r="J44" s="252">
        <f t="shared" si="15"/>
        <v>3377728.3508003303</v>
      </c>
      <c r="K44" s="252">
        <f t="shared" si="15"/>
        <v>3258937.7717342344</v>
      </c>
      <c r="L44" s="252">
        <f t="shared" si="15"/>
        <v>3354574.8481368162</v>
      </c>
      <c r="M44" s="252">
        <f t="shared" si="15"/>
        <v>3229078.4827279453</v>
      </c>
      <c r="N44" s="252">
        <f t="shared" si="15"/>
        <v>3317287.8887211219</v>
      </c>
      <c r="O44" s="252">
        <f t="shared" si="15"/>
        <v>3179486.1141666668</v>
      </c>
      <c r="P44" s="252">
        <f t="shared" si="15"/>
        <v>3128649.7841666667</v>
      </c>
    </row>
    <row r="45" spans="1:17" ht="31.9" customHeight="1" thickBot="1">
      <c r="C45" s="255" t="s">
        <v>36</v>
      </c>
      <c r="D45" s="256"/>
      <c r="E45" s="257">
        <f>Rockport!E29</f>
        <v>514230.66</v>
      </c>
      <c r="F45" s="258">
        <f>Rockport!F29</f>
        <v>751106.9</v>
      </c>
      <c r="G45" s="258">
        <f>Rockport!G29</f>
        <v>749547.42</v>
      </c>
      <c r="H45" s="258">
        <f>Rockport!H29</f>
        <v>901719.15</v>
      </c>
      <c r="I45" s="258">
        <f>Rockport!I29</f>
        <v>902729.65</v>
      </c>
      <c r="J45" s="258">
        <f>Rockport!J29</f>
        <v>890223.48</v>
      </c>
      <c r="K45" s="258">
        <f>Rockport!K29</f>
        <v>761093.3</v>
      </c>
      <c r="L45" s="258">
        <f>Rockport!L29</f>
        <v>838037.54</v>
      </c>
      <c r="M45" s="258">
        <f>Rockport!M29</f>
        <v>853952.45</v>
      </c>
      <c r="N45" s="258">
        <f>Rockport!N29</f>
        <v>934401.61</v>
      </c>
      <c r="O45" s="258">
        <f>Rockport!O29</f>
        <v>848222.64</v>
      </c>
      <c r="P45" s="259">
        <f>Rockport!P29</f>
        <v>814550.89</v>
      </c>
      <c r="Q45" t="s">
        <v>13</v>
      </c>
    </row>
    <row r="46" spans="1:17" ht="38.450000000000003" customHeight="1" thickBot="1">
      <c r="C46" s="260" t="s">
        <v>37</v>
      </c>
      <c r="D46" s="261"/>
      <c r="E46" s="262">
        <v>134076</v>
      </c>
      <c r="F46" s="263">
        <v>0</v>
      </c>
      <c r="G46" s="263">
        <v>0</v>
      </c>
      <c r="H46" s="263">
        <v>0</v>
      </c>
      <c r="I46" s="263">
        <v>119500</v>
      </c>
      <c r="J46" s="263">
        <v>0</v>
      </c>
      <c r="K46" s="263">
        <v>13073</v>
      </c>
      <c r="L46" s="263">
        <v>0</v>
      </c>
      <c r="M46" s="263">
        <v>0</v>
      </c>
      <c r="N46" s="263">
        <v>5100</v>
      </c>
      <c r="O46" s="263">
        <v>0</v>
      </c>
      <c r="P46" s="264">
        <v>0</v>
      </c>
      <c r="Q46" t="s">
        <v>13</v>
      </c>
    </row>
    <row r="47" spans="1:17" s="251" customFormat="1" ht="38.450000000000003" customHeight="1" thickBot="1">
      <c r="C47" s="265" t="s">
        <v>102</v>
      </c>
      <c r="D47" s="266"/>
      <c r="E47" s="267">
        <f t="shared" ref="E47:N47" si="16">ROUND(E44+E45-E46,0)</f>
        <v>3741771</v>
      </c>
      <c r="F47" s="268">
        <f t="shared" si="16"/>
        <v>4048931</v>
      </c>
      <c r="G47" s="268">
        <f t="shared" si="16"/>
        <v>3978413</v>
      </c>
      <c r="H47" s="268">
        <f t="shared" si="16"/>
        <v>4208437</v>
      </c>
      <c r="I47" s="268">
        <f t="shared" si="16"/>
        <v>4128600</v>
      </c>
      <c r="J47" s="268">
        <f t="shared" si="16"/>
        <v>4267952</v>
      </c>
      <c r="K47" s="268">
        <f t="shared" si="16"/>
        <v>4006958</v>
      </c>
      <c r="L47" s="268">
        <f t="shared" si="16"/>
        <v>4192612</v>
      </c>
      <c r="M47" s="268">
        <f t="shared" si="16"/>
        <v>4083031</v>
      </c>
      <c r="N47" s="268">
        <f t="shared" si="16"/>
        <v>4246589</v>
      </c>
      <c r="O47" s="268">
        <f t="shared" ref="O47:P47" si="17">ROUND(O44+O45-O46,0)</f>
        <v>4027709</v>
      </c>
      <c r="P47" s="269">
        <f t="shared" si="17"/>
        <v>3943201</v>
      </c>
    </row>
    <row r="49" spans="5:16">
      <c r="E49" s="82"/>
      <c r="F49" s="82"/>
      <c r="G49" s="82"/>
      <c r="H49" s="82" t="s">
        <v>13</v>
      </c>
      <c r="I49" s="82"/>
      <c r="J49" s="82"/>
      <c r="K49" s="82"/>
      <c r="L49" s="82"/>
      <c r="M49" s="82"/>
      <c r="N49" s="82"/>
      <c r="O49" s="82"/>
      <c r="P49" s="82"/>
    </row>
    <row r="51" spans="5:16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3" spans="5:16"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61" spans="5:16">
      <c r="P61" s="36" t="s">
        <v>13</v>
      </c>
    </row>
    <row r="65" spans="3:4">
      <c r="C65" t="s">
        <v>48</v>
      </c>
      <c r="D65" s="43">
        <v>8190115.4399999995</v>
      </c>
    </row>
    <row r="66" spans="3:4">
      <c r="C66" t="s">
        <v>47</v>
      </c>
      <c r="D66" s="35">
        <v>9370392</v>
      </c>
    </row>
  </sheetData>
  <mergeCells count="2">
    <mergeCell ref="A2:A3"/>
    <mergeCell ref="E2:P3"/>
  </mergeCells>
  <pageMargins left="0.7" right="0.7" top="0.75" bottom="0.75" header="0.3" footer="0.3"/>
  <pageSetup scale="91" orientation="portrait" r:id="rId1"/>
  <colBreaks count="1" manualBreakCount="1">
    <brk id="4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workbookViewId="0">
      <selection activeCell="E30" sqref="E30"/>
    </sheetView>
  </sheetViews>
  <sheetFormatPr defaultRowHeight="15"/>
  <cols>
    <col min="1" max="1" width="11.42578125" customWidth="1"/>
    <col min="2" max="2" width="0.42578125" customWidth="1"/>
    <col min="3" max="3" width="54.5703125" customWidth="1"/>
    <col min="4" max="4" width="8.5703125" customWidth="1"/>
    <col min="5" max="14" width="18.140625" customWidth="1"/>
    <col min="15" max="15" width="21.5703125" customWidth="1"/>
    <col min="16" max="16" width="22.140625" customWidth="1"/>
  </cols>
  <sheetData>
    <row r="1" spans="1:16 16383:16384" ht="15.75" thickBot="1"/>
    <row r="2" spans="1:16 16383:16384">
      <c r="A2" s="59"/>
      <c r="B2" s="81"/>
      <c r="C2" s="75"/>
      <c r="D2" s="76"/>
      <c r="E2" s="277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</row>
    <row r="3" spans="1:16 16383:16384" ht="15.75" thickBot="1">
      <c r="A3" s="271" t="s">
        <v>0</v>
      </c>
      <c r="B3" s="74"/>
      <c r="C3" s="6"/>
      <c r="D3" s="77"/>
      <c r="E3" s="278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</row>
    <row r="4" spans="1:16 16383:16384" ht="15.75" thickBot="1">
      <c r="A4" s="276"/>
      <c r="B4" s="78"/>
      <c r="C4" s="79" t="s">
        <v>1</v>
      </c>
      <c r="D4" s="80"/>
      <c r="E4" s="56">
        <v>42432</v>
      </c>
      <c r="F4" s="56">
        <v>42463</v>
      </c>
      <c r="G4" s="56">
        <v>42494</v>
      </c>
      <c r="H4" s="56">
        <v>42525</v>
      </c>
      <c r="I4" s="56">
        <v>42556</v>
      </c>
      <c r="J4" s="56">
        <v>42587</v>
      </c>
      <c r="K4" s="56">
        <v>42618</v>
      </c>
      <c r="L4" s="56">
        <v>42649</v>
      </c>
      <c r="M4" s="56">
        <v>42680</v>
      </c>
      <c r="N4" s="87">
        <v>42711</v>
      </c>
      <c r="O4" s="87">
        <f>N4+30</f>
        <v>42741</v>
      </c>
      <c r="P4" s="87">
        <f>O4+30</f>
        <v>42771</v>
      </c>
      <c r="XFC4" t="s">
        <v>13</v>
      </c>
      <c r="XFD4" s="26" t="s">
        <v>13</v>
      </c>
    </row>
    <row r="5" spans="1:16 16383:16384">
      <c r="A5" s="45">
        <v>1</v>
      </c>
      <c r="B5" s="8"/>
      <c r="C5" s="46" t="s">
        <v>2</v>
      </c>
      <c r="D5" s="15"/>
      <c r="E5" s="57">
        <v>316423584.88999999</v>
      </c>
      <c r="F5" s="67">
        <v>316536150.98000008</v>
      </c>
      <c r="G5" s="57">
        <v>316118198.14000005</v>
      </c>
      <c r="H5" s="67">
        <v>316280168.42000008</v>
      </c>
      <c r="I5" s="57">
        <v>316286225.84000003</v>
      </c>
      <c r="J5" s="67">
        <v>316304243.73999995</v>
      </c>
      <c r="K5" s="57">
        <v>316322748.30000001</v>
      </c>
      <c r="L5" s="61">
        <v>315971334.69999999</v>
      </c>
      <c r="M5" s="67">
        <v>316083170.03000003</v>
      </c>
      <c r="N5" s="57">
        <v>316959541.99000001</v>
      </c>
      <c r="O5" s="67">
        <v>316561761</v>
      </c>
      <c r="P5" s="57">
        <v>326759496</v>
      </c>
    </row>
    <row r="6" spans="1:16 16383:16384" s="36" customFormat="1">
      <c r="A6" s="223" t="s">
        <v>42</v>
      </c>
      <c r="B6" s="224"/>
      <c r="C6" s="225" t="s">
        <v>56</v>
      </c>
      <c r="D6" s="226"/>
      <c r="E6" s="221">
        <v>-380739.8</v>
      </c>
      <c r="F6" s="222">
        <v>-380739.8</v>
      </c>
      <c r="G6" s="221">
        <v>-380739.8</v>
      </c>
      <c r="H6" s="222">
        <v>-380739.8</v>
      </c>
      <c r="I6" s="221">
        <v>-380739.8</v>
      </c>
      <c r="J6" s="222">
        <v>-380739.8</v>
      </c>
      <c r="K6" s="221">
        <v>-380739.8</v>
      </c>
      <c r="L6" s="227"/>
      <c r="M6" s="222"/>
      <c r="N6" s="221"/>
      <c r="O6" s="222"/>
      <c r="P6" s="221"/>
    </row>
    <row r="7" spans="1:16 16383:16384">
      <c r="A7" s="45">
        <f>A5+1</f>
        <v>2</v>
      </c>
      <c r="B7" s="8"/>
      <c r="C7" s="46" t="s">
        <v>3</v>
      </c>
      <c r="D7" s="15"/>
      <c r="E7" s="94">
        <v>38943091.850000009</v>
      </c>
      <c r="F7" s="68">
        <v>40532076.579999991</v>
      </c>
      <c r="G7" s="94">
        <v>42039012.919999987</v>
      </c>
      <c r="H7" s="68">
        <v>43551213.910000004</v>
      </c>
      <c r="I7" s="94">
        <v>45291051.380000003</v>
      </c>
      <c r="J7" s="68">
        <v>47047838.880000003</v>
      </c>
      <c r="K7" s="94">
        <v>48778372.729999997</v>
      </c>
      <c r="L7" s="29">
        <v>50641102.810000002</v>
      </c>
      <c r="M7" s="68">
        <v>52322799.980000004</v>
      </c>
      <c r="N7" s="94">
        <v>52496071.620000005</v>
      </c>
      <c r="O7" s="68">
        <v>56182644</v>
      </c>
      <c r="P7" s="94">
        <v>58149815</v>
      </c>
    </row>
    <row r="8" spans="1:16 16383:16384">
      <c r="A8" s="45">
        <f t="shared" ref="A8:A29" si="0">A7+1</f>
        <v>3</v>
      </c>
      <c r="B8" s="8"/>
      <c r="C8" s="46" t="s">
        <v>4</v>
      </c>
      <c r="D8" s="15"/>
      <c r="E8" s="47">
        <v>49403957</v>
      </c>
      <c r="F8" s="69">
        <v>48787767</v>
      </c>
      <c r="G8" s="47">
        <v>46852159</v>
      </c>
      <c r="H8" s="69">
        <v>46981911</v>
      </c>
      <c r="I8" s="47">
        <v>46706048</v>
      </c>
      <c r="J8" s="69">
        <v>48260852</v>
      </c>
      <c r="K8" s="47">
        <v>47975478</v>
      </c>
      <c r="L8" s="62">
        <v>47645132</v>
      </c>
      <c r="M8" s="69">
        <v>47503019</v>
      </c>
      <c r="N8" s="47">
        <v>47821147</v>
      </c>
      <c r="O8" s="69">
        <v>46771514</v>
      </c>
      <c r="P8" s="47">
        <v>46526730</v>
      </c>
    </row>
    <row r="9" spans="1:16 16383:16384">
      <c r="A9" s="45">
        <f t="shared" si="0"/>
        <v>4</v>
      </c>
      <c r="B9" s="8"/>
      <c r="C9" s="46" t="s">
        <v>5</v>
      </c>
      <c r="D9" s="15"/>
      <c r="E9" s="48">
        <f t="shared" ref="E9:N9" si="1">E5+E6-E7-E8</f>
        <v>227695796.23999995</v>
      </c>
      <c r="F9" s="90">
        <f t="shared" si="1"/>
        <v>226835567.60000008</v>
      </c>
      <c r="G9" s="48">
        <f t="shared" si="1"/>
        <v>226846286.42000008</v>
      </c>
      <c r="H9" s="90">
        <f t="shared" si="1"/>
        <v>225366303.71000004</v>
      </c>
      <c r="I9" s="48">
        <f t="shared" si="1"/>
        <v>223908386.66000003</v>
      </c>
      <c r="J9" s="90">
        <f t="shared" si="1"/>
        <v>220614813.05999994</v>
      </c>
      <c r="K9" s="48">
        <f t="shared" si="1"/>
        <v>219188157.77000001</v>
      </c>
      <c r="L9" s="88">
        <f t="shared" si="1"/>
        <v>217685099.88999999</v>
      </c>
      <c r="M9" s="90">
        <f t="shared" si="1"/>
        <v>216257351.05000001</v>
      </c>
      <c r="N9" s="48">
        <f t="shared" si="1"/>
        <v>216642323.37</v>
      </c>
      <c r="O9" s="90">
        <f t="shared" ref="O9:P9" si="2">O5+O6-O7-O8</f>
        <v>213607603</v>
      </c>
      <c r="P9" s="48">
        <f t="shared" si="2"/>
        <v>222082951</v>
      </c>
    </row>
    <row r="10" spans="1:16 16383:16384">
      <c r="A10" s="45">
        <f t="shared" si="0"/>
        <v>5</v>
      </c>
      <c r="B10" s="8"/>
      <c r="C10" s="46" t="s">
        <v>10</v>
      </c>
      <c r="D10" s="15"/>
      <c r="E10" s="52">
        <v>3705728</v>
      </c>
      <c r="F10" s="38">
        <v>4002377</v>
      </c>
      <c r="G10" s="52">
        <v>4297573</v>
      </c>
      <c r="H10" s="38">
        <v>4407355</v>
      </c>
      <c r="I10" s="52">
        <v>4134556</v>
      </c>
      <c r="J10" s="38">
        <v>4076762</v>
      </c>
      <c r="K10" s="52">
        <v>3898097</v>
      </c>
      <c r="L10" s="66">
        <v>3822694</v>
      </c>
      <c r="M10" s="38">
        <v>3952542</v>
      </c>
      <c r="N10" s="52">
        <v>4143484</v>
      </c>
      <c r="O10" s="38">
        <v>4217747</v>
      </c>
      <c r="P10" s="52">
        <v>4333801</v>
      </c>
    </row>
    <row r="11" spans="1:16 16383:16384" s="36" customFormat="1">
      <c r="A11" s="72" t="s">
        <v>57</v>
      </c>
      <c r="B11" s="8"/>
      <c r="C11" s="73" t="s">
        <v>59</v>
      </c>
      <c r="D11" s="15"/>
      <c r="E11" s="52">
        <v>544298.34</v>
      </c>
      <c r="F11" s="38">
        <v>640359.43000000005</v>
      </c>
      <c r="G11" s="52">
        <v>543419.18999999994</v>
      </c>
      <c r="H11" s="38">
        <v>578777.89</v>
      </c>
      <c r="I11" s="52">
        <v>720138.52</v>
      </c>
      <c r="J11" s="38">
        <v>181177.72</v>
      </c>
      <c r="K11" s="52">
        <v>385959.48</v>
      </c>
      <c r="L11" s="66">
        <v>288183.05</v>
      </c>
      <c r="M11" s="38">
        <v>631749.67000000004</v>
      </c>
      <c r="N11" s="52">
        <v>657832.72</v>
      </c>
      <c r="O11" s="38">
        <v>1187323.3800000001</v>
      </c>
      <c r="P11" s="52">
        <v>1089758.26</v>
      </c>
    </row>
    <row r="12" spans="1:16 16383:16384" s="36" customFormat="1">
      <c r="A12" s="72" t="s">
        <v>58</v>
      </c>
      <c r="B12" s="8"/>
      <c r="C12" s="73" t="s">
        <v>60</v>
      </c>
      <c r="D12" s="15"/>
      <c r="E12" s="52">
        <v>491013.72000000003</v>
      </c>
      <c r="F12" s="38">
        <v>312334.03999999998</v>
      </c>
      <c r="G12" s="52">
        <v>440795.05</v>
      </c>
      <c r="H12" s="38">
        <v>697869.52</v>
      </c>
      <c r="I12" s="52">
        <v>698301.1</v>
      </c>
      <c r="J12" s="38">
        <v>836507.14</v>
      </c>
      <c r="K12" s="52">
        <v>566178.78</v>
      </c>
      <c r="L12" s="66">
        <v>695844.36</v>
      </c>
      <c r="M12" s="38">
        <v>500845.48</v>
      </c>
      <c r="N12" s="52">
        <v>673995.48</v>
      </c>
      <c r="O12" s="38">
        <v>674284.87</v>
      </c>
      <c r="P12" s="52">
        <v>640074.07999999996</v>
      </c>
    </row>
    <row r="13" spans="1:16 16383:16384" ht="15.75" thickBot="1">
      <c r="A13" s="45">
        <f>A10+1</f>
        <v>6</v>
      </c>
      <c r="B13" s="4"/>
      <c r="C13" s="49" t="s">
        <v>11</v>
      </c>
      <c r="D13" s="84"/>
      <c r="E13" s="83">
        <f t="shared" ref="E13:N13" si="3">SUM(E9:E12)</f>
        <v>232436836.29999995</v>
      </c>
      <c r="F13" s="91">
        <f t="shared" si="3"/>
        <v>231790638.07000008</v>
      </c>
      <c r="G13" s="83">
        <f t="shared" si="3"/>
        <v>232128073.66000009</v>
      </c>
      <c r="H13" s="91">
        <f t="shared" si="3"/>
        <v>231050306.12000003</v>
      </c>
      <c r="I13" s="83">
        <f t="shared" si="3"/>
        <v>229461382.28000003</v>
      </c>
      <c r="J13" s="91">
        <f t="shared" si="3"/>
        <v>225709259.91999993</v>
      </c>
      <c r="K13" s="83">
        <f t="shared" si="3"/>
        <v>224038393.03</v>
      </c>
      <c r="L13" s="89">
        <f t="shared" si="3"/>
        <v>222491821.30000001</v>
      </c>
      <c r="M13" s="91">
        <f t="shared" si="3"/>
        <v>221342488.19999999</v>
      </c>
      <c r="N13" s="83">
        <f t="shared" si="3"/>
        <v>222117635.56999999</v>
      </c>
      <c r="O13" s="91">
        <f t="shared" ref="O13:P13" si="4">SUM(O9:O12)</f>
        <v>219686958.25</v>
      </c>
      <c r="P13" s="83">
        <f t="shared" si="4"/>
        <v>228146584.34</v>
      </c>
    </row>
    <row r="14" spans="1:16 16383:16384" ht="15.75" thickTop="1">
      <c r="A14" s="45">
        <f t="shared" si="0"/>
        <v>7</v>
      </c>
      <c r="B14" s="8"/>
      <c r="C14" s="46" t="s">
        <v>12</v>
      </c>
      <c r="D14" s="85" t="s">
        <v>13</v>
      </c>
      <c r="E14" s="46"/>
      <c r="F14" s="16"/>
      <c r="G14" s="46"/>
      <c r="H14" s="16"/>
      <c r="I14" s="46"/>
      <c r="J14" s="16"/>
      <c r="K14" s="46"/>
      <c r="L14" s="64"/>
      <c r="M14" s="16"/>
      <c r="N14" s="46"/>
      <c r="O14" s="16"/>
      <c r="P14" s="46"/>
    </row>
    <row r="15" spans="1:16 16383:16384">
      <c r="A15" s="45">
        <f t="shared" si="0"/>
        <v>8</v>
      </c>
      <c r="B15" s="8"/>
      <c r="C15" s="46" t="s">
        <v>14</v>
      </c>
      <c r="D15" s="15"/>
      <c r="E15" s="51">
        <v>7.2728333333333325E-3</v>
      </c>
      <c r="F15" s="71">
        <v>7.2976666666666667E-3</v>
      </c>
      <c r="G15" s="51">
        <v>7.2976666666666667E-3</v>
      </c>
      <c r="H15" s="71">
        <v>7.1102499999999994E-3</v>
      </c>
      <c r="I15" s="51">
        <v>6.4846666666666664E-3</v>
      </c>
      <c r="J15" s="71">
        <v>6.5901666666666669E-3</v>
      </c>
      <c r="K15" s="51">
        <v>6.8582499999999998E-3</v>
      </c>
      <c r="L15" s="65">
        <v>6.8941666666666665E-3</v>
      </c>
      <c r="M15" s="71">
        <v>7.2255833333333339E-3</v>
      </c>
      <c r="N15" s="51">
        <v>7.3147499999999992E-3</v>
      </c>
      <c r="O15" s="71">
        <f>ROUND(0.0852/12,4)</f>
        <v>7.1000000000000004E-3</v>
      </c>
      <c r="P15" s="92">
        <v>7.4000000000000003E-3</v>
      </c>
    </row>
    <row r="16" spans="1:16 16383:16384">
      <c r="A16" s="45">
        <f t="shared" si="0"/>
        <v>9</v>
      </c>
      <c r="B16" s="8"/>
      <c r="C16" s="73" t="s">
        <v>95</v>
      </c>
      <c r="D16" s="15"/>
      <c r="E16" s="94">
        <f>(E9+E10)*E15</f>
        <v>1682944.7188768128</v>
      </c>
      <c r="F16" s="68">
        <f>(F9+F10)*F15</f>
        <v>1684578.3737092672</v>
      </c>
      <c r="G16" s="94">
        <f t="shared" ref="G16:P16" si="5">(G9+G10)*G15</f>
        <v>1686810.8380940205</v>
      </c>
      <c r="H16" s="68">
        <f t="shared" si="5"/>
        <v>1633748.1568427777</v>
      </c>
      <c r="I16" s="94">
        <f t="shared" si="5"/>
        <v>1478782.46883588</v>
      </c>
      <c r="J16" s="68">
        <f t="shared" si="5"/>
        <v>1480754.9282412431</v>
      </c>
      <c r="K16" s="94">
        <f t="shared" si="5"/>
        <v>1529981.3067763525</v>
      </c>
      <c r="L16" s="68">
        <f t="shared" si="5"/>
        <v>1527111.6490433081</v>
      </c>
      <c r="M16" s="68">
        <f t="shared" si="5"/>
        <v>1591144.933057196</v>
      </c>
      <c r="N16" s="94">
        <f t="shared" si="5"/>
        <v>1614992.9844597073</v>
      </c>
      <c r="O16" s="68">
        <f t="shared" si="5"/>
        <v>1546559.9850000001</v>
      </c>
      <c r="P16" s="94">
        <f t="shared" si="5"/>
        <v>1675483.9648</v>
      </c>
    </row>
    <row r="17" spans="1:16" s="36" customFormat="1">
      <c r="A17" s="228">
        <f t="shared" si="0"/>
        <v>10</v>
      </c>
      <c r="B17" s="8"/>
      <c r="C17" s="229" t="s">
        <v>97</v>
      </c>
      <c r="D17" s="226"/>
      <c r="E17" s="230">
        <f>(E12+E11)*E15</f>
        <v>7529.6520603699992</v>
      </c>
      <c r="F17" s="231">
        <f>(F12+F11)*F15</f>
        <v>6952.4393795699998</v>
      </c>
      <c r="G17" s="230">
        <f t="shared" ref="G17:P17" si="6">(G12+G11)*G15</f>
        <v>7182.4674521066663</v>
      </c>
      <c r="H17" s="231">
        <f t="shared" si="6"/>
        <v>9077.2822469524999</v>
      </c>
      <c r="I17" s="230">
        <f t="shared" si="6"/>
        <v>9198.1081224933332</v>
      </c>
      <c r="J17" s="231">
        <f t="shared" si="6"/>
        <v>6706.7128415433335</v>
      </c>
      <c r="K17" s="230">
        <f t="shared" si="6"/>
        <v>6530.0022216449997</v>
      </c>
      <c r="L17" s="231">
        <f t="shared" si="6"/>
        <v>6784.048969108333</v>
      </c>
      <c r="M17" s="231">
        <f t="shared" si="6"/>
        <v>8183.6606392541662</v>
      </c>
      <c r="N17" s="230">
        <f t="shared" si="6"/>
        <v>9741.9903259499988</v>
      </c>
      <c r="O17" s="231">
        <f t="shared" si="6"/>
        <v>13217.418575000002</v>
      </c>
      <c r="P17" s="230">
        <f t="shared" si="6"/>
        <v>12800.759316</v>
      </c>
    </row>
    <row r="18" spans="1:16" s="36" customFormat="1">
      <c r="A18" s="45">
        <f t="shared" si="0"/>
        <v>11</v>
      </c>
      <c r="B18" s="8"/>
      <c r="C18" s="73" t="s">
        <v>96</v>
      </c>
      <c r="D18" s="15"/>
      <c r="E18" s="94">
        <f>E16+E17</f>
        <v>1690474.3709371828</v>
      </c>
      <c r="F18" s="68">
        <f t="shared" ref="F18:P18" si="7">F16+F17</f>
        <v>1691530.8130888373</v>
      </c>
      <c r="G18" s="94">
        <f t="shared" si="7"/>
        <v>1693993.3055461273</v>
      </c>
      <c r="H18" s="68">
        <f t="shared" si="7"/>
        <v>1642825.4390897301</v>
      </c>
      <c r="I18" s="94">
        <f t="shared" si="7"/>
        <v>1487980.5769583734</v>
      </c>
      <c r="J18" s="68">
        <f t="shared" si="7"/>
        <v>1487461.6410827865</v>
      </c>
      <c r="K18" s="94">
        <f t="shared" si="7"/>
        <v>1536511.3089979975</v>
      </c>
      <c r="L18" s="68">
        <f t="shared" si="7"/>
        <v>1533895.6980124165</v>
      </c>
      <c r="M18" s="68">
        <f t="shared" si="7"/>
        <v>1599328.5936964501</v>
      </c>
      <c r="N18" s="94">
        <f t="shared" si="7"/>
        <v>1624734.9747856574</v>
      </c>
      <c r="O18" s="68">
        <f t="shared" si="7"/>
        <v>1559777.4035750001</v>
      </c>
      <c r="P18" s="94">
        <f t="shared" si="7"/>
        <v>1688284.7241159999</v>
      </c>
    </row>
    <row r="19" spans="1:16">
      <c r="A19" s="45">
        <f t="shared" si="0"/>
        <v>12</v>
      </c>
      <c r="B19" s="8"/>
      <c r="C19" s="46" t="s">
        <v>50</v>
      </c>
      <c r="D19" s="15"/>
      <c r="E19" s="47">
        <v>482385</v>
      </c>
      <c r="F19" s="69">
        <v>1258566.8</v>
      </c>
      <c r="G19" s="47">
        <v>1567432.87</v>
      </c>
      <c r="H19" s="69">
        <v>2062649</v>
      </c>
      <c r="I19" s="47">
        <v>2044090</v>
      </c>
      <c r="J19" s="69">
        <v>1984393</v>
      </c>
      <c r="K19" s="47">
        <v>1635464</v>
      </c>
      <c r="L19" s="62">
        <v>1789403</v>
      </c>
      <c r="M19" s="69">
        <v>1897438.52</v>
      </c>
      <c r="N19" s="47">
        <v>1985822.14</v>
      </c>
      <c r="O19" s="69">
        <v>1808911</v>
      </c>
      <c r="P19" s="47">
        <v>1525794</v>
      </c>
    </row>
    <row r="20" spans="1:16">
      <c r="A20" s="45">
        <f t="shared" si="0"/>
        <v>13</v>
      </c>
      <c r="B20" s="8"/>
      <c r="C20" s="46" t="s">
        <v>51</v>
      </c>
      <c r="D20" s="15"/>
      <c r="E20" s="47">
        <v>248535</v>
      </c>
      <c r="F20" s="69">
        <v>1007572.68</v>
      </c>
      <c r="G20" s="47">
        <v>724827.83</v>
      </c>
      <c r="H20" s="69">
        <v>1253450</v>
      </c>
      <c r="I20" s="47">
        <v>1487249</v>
      </c>
      <c r="J20" s="69">
        <v>1452677</v>
      </c>
      <c r="K20" s="47">
        <v>852402</v>
      </c>
      <c r="L20" s="62">
        <v>1268403</v>
      </c>
      <c r="M20" s="69">
        <v>1206427.8999999999</v>
      </c>
      <c r="N20" s="47">
        <v>1530630</v>
      </c>
      <c r="O20" s="69">
        <v>1220012</v>
      </c>
      <c r="P20" s="47">
        <v>1154247</v>
      </c>
    </row>
    <row r="21" spans="1:16">
      <c r="A21" s="45">
        <f t="shared" si="0"/>
        <v>14</v>
      </c>
      <c r="B21" s="8"/>
      <c r="C21" s="46" t="s">
        <v>52</v>
      </c>
      <c r="D21" s="15"/>
      <c r="E21" s="94">
        <v>15625</v>
      </c>
      <c r="F21" s="68">
        <v>15625</v>
      </c>
      <c r="G21" s="94">
        <v>15625</v>
      </c>
      <c r="H21" s="68">
        <v>15625</v>
      </c>
      <c r="I21" s="94">
        <v>15625</v>
      </c>
      <c r="J21" s="68">
        <v>15625</v>
      </c>
      <c r="K21" s="94">
        <v>15625</v>
      </c>
      <c r="L21" s="29">
        <v>15625</v>
      </c>
      <c r="M21" s="68">
        <v>15625</v>
      </c>
      <c r="N21" s="94">
        <v>15625</v>
      </c>
      <c r="O21" s="68">
        <v>15625</v>
      </c>
      <c r="P21" s="94">
        <v>15625</v>
      </c>
    </row>
    <row r="22" spans="1:16">
      <c r="A22" s="45">
        <f t="shared" si="0"/>
        <v>15</v>
      </c>
      <c r="B22" s="8"/>
      <c r="C22" s="46" t="s">
        <v>53</v>
      </c>
      <c r="D22" s="15"/>
      <c r="E22" s="94">
        <v>0</v>
      </c>
      <c r="F22" s="68">
        <v>0</v>
      </c>
      <c r="G22" s="94">
        <v>0</v>
      </c>
      <c r="H22" s="68">
        <v>0</v>
      </c>
      <c r="I22" s="94">
        <v>0</v>
      </c>
      <c r="J22" s="68">
        <v>0</v>
      </c>
      <c r="K22" s="94">
        <v>0</v>
      </c>
      <c r="L22" s="29">
        <v>0</v>
      </c>
      <c r="M22" s="68">
        <v>0</v>
      </c>
      <c r="N22" s="94">
        <v>0</v>
      </c>
      <c r="O22" s="68">
        <v>0</v>
      </c>
      <c r="P22" s="94">
        <v>0</v>
      </c>
    </row>
    <row r="23" spans="1:16" ht="15.75" thickBot="1">
      <c r="A23" s="45">
        <f t="shared" si="0"/>
        <v>16</v>
      </c>
      <c r="B23" s="4"/>
      <c r="C23" s="49" t="s">
        <v>26</v>
      </c>
      <c r="D23" s="84"/>
      <c r="E23" s="50">
        <f>SUM(E18:E22)</f>
        <v>2437019.3709371826</v>
      </c>
      <c r="F23" s="50">
        <f t="shared" ref="F23:P23" si="8">SUM(F18:F22)</f>
        <v>3973295.2930888375</v>
      </c>
      <c r="G23" s="50">
        <f t="shared" si="8"/>
        <v>4001879.0055461274</v>
      </c>
      <c r="H23" s="50">
        <f t="shared" si="8"/>
        <v>4974549.4390897304</v>
      </c>
      <c r="I23" s="50">
        <f t="shared" si="8"/>
        <v>5034944.5769583732</v>
      </c>
      <c r="J23" s="50">
        <f t="shared" si="8"/>
        <v>4940156.641082786</v>
      </c>
      <c r="K23" s="50">
        <f t="shared" si="8"/>
        <v>4040002.3089979975</v>
      </c>
      <c r="L23" s="50">
        <f t="shared" si="8"/>
        <v>4607326.6980124163</v>
      </c>
      <c r="M23" s="50">
        <f t="shared" si="8"/>
        <v>4718820.0136964507</v>
      </c>
      <c r="N23" s="50">
        <f t="shared" si="8"/>
        <v>5156812.1147856573</v>
      </c>
      <c r="O23" s="50">
        <f t="shared" si="8"/>
        <v>4604325.4035750004</v>
      </c>
      <c r="P23" s="50">
        <f t="shared" si="8"/>
        <v>4383950.7241159994</v>
      </c>
    </row>
    <row r="24" spans="1:16" ht="15.75" thickTop="1">
      <c r="A24" s="45">
        <f t="shared" si="0"/>
        <v>17</v>
      </c>
      <c r="B24" s="8"/>
      <c r="C24" s="46" t="s">
        <v>54</v>
      </c>
      <c r="D24" s="15"/>
      <c r="E24" s="52">
        <v>64126</v>
      </c>
      <c r="F24" s="38">
        <v>106694.81999999999</v>
      </c>
      <c r="G24" s="52">
        <v>68940.61</v>
      </c>
      <c r="H24" s="38">
        <v>110273.24</v>
      </c>
      <c r="I24" s="52">
        <v>56597</v>
      </c>
      <c r="J24" s="38">
        <v>67957.59</v>
      </c>
      <c r="K24" s="52">
        <v>107189.81000000001</v>
      </c>
      <c r="L24" s="66">
        <v>52741</v>
      </c>
      <c r="M24" s="38">
        <v>47019</v>
      </c>
      <c r="N24" s="52">
        <v>142783.93000000002</v>
      </c>
      <c r="O24" s="38">
        <v>121911</v>
      </c>
      <c r="P24" s="52">
        <v>87894</v>
      </c>
    </row>
    <row r="25" spans="1:16" ht="15.75" thickBot="1">
      <c r="A25" s="45">
        <f t="shared" si="0"/>
        <v>18</v>
      </c>
      <c r="B25" s="4"/>
      <c r="C25" s="49" t="s">
        <v>29</v>
      </c>
      <c r="D25" s="84"/>
      <c r="E25" s="50">
        <v>64126</v>
      </c>
      <c r="F25" s="70">
        <v>106694.81999999999</v>
      </c>
      <c r="G25" s="50">
        <v>68940.61</v>
      </c>
      <c r="H25" s="70">
        <v>110273.24</v>
      </c>
      <c r="I25" s="50">
        <v>56597</v>
      </c>
      <c r="J25" s="70">
        <v>67957.59</v>
      </c>
      <c r="K25" s="50">
        <v>107189.81000000001</v>
      </c>
      <c r="L25" s="63">
        <v>52741</v>
      </c>
      <c r="M25" s="70">
        <v>47019</v>
      </c>
      <c r="N25" s="50">
        <v>142783.93000000002</v>
      </c>
      <c r="O25" s="70">
        <f>O24</f>
        <v>121911</v>
      </c>
      <c r="P25" s="50">
        <f>P24</f>
        <v>87894</v>
      </c>
    </row>
    <row r="26" spans="1:16" ht="15.75" thickTop="1">
      <c r="A26" s="45">
        <f t="shared" si="0"/>
        <v>19</v>
      </c>
      <c r="B26" s="8"/>
      <c r="C26" s="46" t="s">
        <v>30</v>
      </c>
      <c r="D26" s="15"/>
      <c r="E26" s="94">
        <f t="shared" ref="E26:P26" si="9">(E5+E6)*0.0352/12</f>
        <v>927059.0122639999</v>
      </c>
      <c r="F26" s="68">
        <f t="shared" si="9"/>
        <v>927389.20612800028</v>
      </c>
      <c r="G26" s="94">
        <f t="shared" si="9"/>
        <v>926163.2111306669</v>
      </c>
      <c r="H26" s="68">
        <f t="shared" si="9"/>
        <v>926638.32395200024</v>
      </c>
      <c r="I26" s="94">
        <f t="shared" si="9"/>
        <v>926656.09238400019</v>
      </c>
      <c r="J26" s="68">
        <f t="shared" si="9"/>
        <v>926708.94489066664</v>
      </c>
      <c r="K26" s="94">
        <f t="shared" si="9"/>
        <v>926763.22493333335</v>
      </c>
      <c r="L26" s="29">
        <f t="shared" si="9"/>
        <v>926849.24845333339</v>
      </c>
      <c r="M26" s="68">
        <f t="shared" si="9"/>
        <v>927177.29875466682</v>
      </c>
      <c r="N26" s="94">
        <f t="shared" si="9"/>
        <v>929747.98983733344</v>
      </c>
      <c r="O26" s="68">
        <f t="shared" si="9"/>
        <v>928581.16560000007</v>
      </c>
      <c r="P26" s="94">
        <f t="shared" si="9"/>
        <v>958494.52160000009</v>
      </c>
    </row>
    <row r="27" spans="1:16" ht="15.75" thickBot="1">
      <c r="A27" s="45">
        <f t="shared" si="0"/>
        <v>20</v>
      </c>
      <c r="B27" s="4"/>
      <c r="C27" s="53" t="s">
        <v>33</v>
      </c>
      <c r="D27" s="84"/>
      <c r="E27" s="50">
        <f t="shared" ref="E27:N27" si="10">SUM(E26:E26)</f>
        <v>927059.0122639999</v>
      </c>
      <c r="F27" s="70">
        <f t="shared" si="10"/>
        <v>927389.20612800028</v>
      </c>
      <c r="G27" s="50">
        <f t="shared" si="10"/>
        <v>926163.2111306669</v>
      </c>
      <c r="H27" s="70">
        <f t="shared" si="10"/>
        <v>926638.32395200024</v>
      </c>
      <c r="I27" s="50">
        <f t="shared" si="10"/>
        <v>926656.09238400019</v>
      </c>
      <c r="J27" s="70">
        <f t="shared" si="10"/>
        <v>926708.94489066664</v>
      </c>
      <c r="K27" s="50">
        <f t="shared" si="10"/>
        <v>926763.22493333335</v>
      </c>
      <c r="L27" s="63">
        <f t="shared" si="10"/>
        <v>926849.24845333339</v>
      </c>
      <c r="M27" s="70">
        <f t="shared" si="10"/>
        <v>927177.29875466682</v>
      </c>
      <c r="N27" s="50">
        <f t="shared" si="10"/>
        <v>929747.98983733344</v>
      </c>
      <c r="O27" s="70">
        <f t="shared" ref="O27:P27" si="11">SUM(O26:O26)</f>
        <v>928581.16560000007</v>
      </c>
      <c r="P27" s="50">
        <f t="shared" si="11"/>
        <v>958494.52160000009</v>
      </c>
    </row>
    <row r="28" spans="1:16" ht="15.75" thickTop="1">
      <c r="A28" s="45">
        <f t="shared" si="0"/>
        <v>21</v>
      </c>
      <c r="B28" s="4"/>
      <c r="C28" s="53" t="s">
        <v>34</v>
      </c>
      <c r="D28" s="84"/>
      <c r="E28" s="48">
        <f t="shared" ref="E28:N28" si="12">SUM(E23+E25+E27)</f>
        <v>3428204.3832011824</v>
      </c>
      <c r="F28" s="90">
        <f t="shared" si="12"/>
        <v>5007379.3192168381</v>
      </c>
      <c r="G28" s="48">
        <f t="shared" si="12"/>
        <v>4996982.8266767943</v>
      </c>
      <c r="H28" s="90">
        <f t="shared" si="12"/>
        <v>6011461.0030417312</v>
      </c>
      <c r="I28" s="48">
        <f t="shared" si="12"/>
        <v>6018197.6693423735</v>
      </c>
      <c r="J28" s="90">
        <f t="shared" si="12"/>
        <v>5934823.1759734526</v>
      </c>
      <c r="K28" s="48">
        <f t="shared" si="12"/>
        <v>5073955.3439313313</v>
      </c>
      <c r="L28" s="88">
        <f t="shared" si="12"/>
        <v>5586916.9464657493</v>
      </c>
      <c r="M28" s="90">
        <f t="shared" si="12"/>
        <v>5693016.3124511177</v>
      </c>
      <c r="N28" s="48">
        <f t="shared" si="12"/>
        <v>6229344.0346229905</v>
      </c>
      <c r="O28" s="90">
        <f t="shared" ref="O28:P28" si="13">SUM(O23+O25+O27)</f>
        <v>5654817.5691750003</v>
      </c>
      <c r="P28" s="48">
        <f t="shared" si="13"/>
        <v>5430339.245716</v>
      </c>
    </row>
    <row r="29" spans="1:16">
      <c r="A29" s="228">
        <f t="shared" si="0"/>
        <v>22</v>
      </c>
      <c r="B29" s="4"/>
      <c r="C29" s="232" t="s">
        <v>55</v>
      </c>
      <c r="D29" s="233">
        <v>0.15</v>
      </c>
      <c r="E29" s="234">
        <f t="shared" ref="E29:N29" si="14">ROUND(E28*$D$29,2)</f>
        <v>514230.66</v>
      </c>
      <c r="F29" s="235">
        <f t="shared" si="14"/>
        <v>751106.9</v>
      </c>
      <c r="G29" s="234">
        <f t="shared" si="14"/>
        <v>749547.42</v>
      </c>
      <c r="H29" s="235">
        <f t="shared" si="14"/>
        <v>901719.15</v>
      </c>
      <c r="I29" s="234">
        <f t="shared" si="14"/>
        <v>902729.65</v>
      </c>
      <c r="J29" s="235">
        <f t="shared" si="14"/>
        <v>890223.48</v>
      </c>
      <c r="K29" s="234">
        <f t="shared" si="14"/>
        <v>761093.3</v>
      </c>
      <c r="L29" s="236">
        <f t="shared" si="14"/>
        <v>838037.54</v>
      </c>
      <c r="M29" s="235">
        <f t="shared" si="14"/>
        <v>853952.45</v>
      </c>
      <c r="N29" s="234">
        <f t="shared" si="14"/>
        <v>934401.61</v>
      </c>
      <c r="O29" s="235">
        <f t="shared" ref="O29:P29" si="15">ROUND(O28*$D$29,2)</f>
        <v>848222.64</v>
      </c>
      <c r="P29" s="234">
        <f t="shared" si="15"/>
        <v>814550.89</v>
      </c>
    </row>
    <row r="30" spans="1:16" ht="15.75" thickBot="1">
      <c r="A30" s="54"/>
      <c r="B30" s="8"/>
      <c r="C30" s="55"/>
      <c r="D30" s="86"/>
      <c r="E30" s="58"/>
      <c r="F30" s="60"/>
      <c r="G30" s="58"/>
      <c r="H30" s="60"/>
      <c r="I30" s="58"/>
      <c r="J30" s="60"/>
      <c r="K30" s="55"/>
      <c r="L30" s="212"/>
      <c r="M30" s="60"/>
      <c r="N30" s="55"/>
      <c r="O30" s="213"/>
      <c r="P30" s="55"/>
    </row>
    <row r="32" spans="1:16"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4" spans="1:16"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6" s="98" customFormat="1">
      <c r="A35" s="214"/>
      <c r="B35" s="21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98" customFormat="1">
      <c r="A36" s="214"/>
      <c r="B36" s="215"/>
      <c r="C36" s="216"/>
      <c r="D36" s="216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98" customFormat="1"/>
  </sheetData>
  <mergeCells count="2">
    <mergeCell ref="A3:A4"/>
    <mergeCell ref="E2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32" sqref="E32"/>
    </sheetView>
  </sheetViews>
  <sheetFormatPr defaultRowHeight="15"/>
  <cols>
    <col min="1" max="1" width="32.42578125" customWidth="1"/>
  </cols>
  <sheetData>
    <row r="1" spans="1:2">
      <c r="A1" s="40" t="s">
        <v>44</v>
      </c>
      <c r="B1" s="41">
        <v>2.0804E-2</v>
      </c>
    </row>
    <row r="2" spans="1:2">
      <c r="A2" s="40"/>
      <c r="B2" s="40"/>
    </row>
    <row r="3" spans="1:2">
      <c r="A3" s="40" t="s">
        <v>45</v>
      </c>
      <c r="B3" s="42">
        <v>0.6</v>
      </c>
    </row>
    <row r="4" spans="1:2">
      <c r="A4" s="40"/>
      <c r="B4" s="40"/>
    </row>
    <row r="5" spans="1:2">
      <c r="A5" s="40" t="s">
        <v>46</v>
      </c>
      <c r="B5" s="42">
        <v>0.05</v>
      </c>
    </row>
    <row r="36" spans="5:5">
      <c r="E36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zoomScaleNormal="100" workbookViewId="0">
      <selection activeCell="F19" sqref="F19"/>
    </sheetView>
  </sheetViews>
  <sheetFormatPr defaultRowHeight="15"/>
  <cols>
    <col min="1" max="1" width="31.85546875" customWidth="1"/>
  </cols>
  <sheetData>
    <row r="2" spans="1:16">
      <c r="C2" s="26">
        <v>42370</v>
      </c>
      <c r="D2" s="26">
        <f>C2+31</f>
        <v>42401</v>
      </c>
      <c r="E2" s="26">
        <f>D2+31</f>
        <v>42432</v>
      </c>
      <c r="F2" s="26">
        <f t="shared" ref="F2:P2" si="0">E2+31</f>
        <v>42463</v>
      </c>
      <c r="G2" s="26">
        <f t="shared" si="0"/>
        <v>42494</v>
      </c>
      <c r="H2" s="26">
        <f t="shared" si="0"/>
        <v>42525</v>
      </c>
      <c r="I2" s="26">
        <f t="shared" si="0"/>
        <v>42556</v>
      </c>
      <c r="J2" s="26">
        <f t="shared" si="0"/>
        <v>42587</v>
      </c>
      <c r="K2" s="26">
        <f t="shared" si="0"/>
        <v>42618</v>
      </c>
      <c r="L2" s="26">
        <f t="shared" si="0"/>
        <v>42649</v>
      </c>
      <c r="M2" s="26">
        <f t="shared" si="0"/>
        <v>42680</v>
      </c>
      <c r="N2" s="26">
        <f t="shared" si="0"/>
        <v>42711</v>
      </c>
      <c r="O2" s="26">
        <f t="shared" si="0"/>
        <v>42742</v>
      </c>
      <c r="P2" s="26">
        <f t="shared" si="0"/>
        <v>42773</v>
      </c>
    </row>
    <row r="3" spans="1:16">
      <c r="A3" s="28" t="s">
        <v>38</v>
      </c>
      <c r="C3" s="34">
        <v>0.97399999999999998</v>
      </c>
      <c r="D3" s="34">
        <v>0.97199999999999998</v>
      </c>
      <c r="E3" s="34">
        <v>0.96599999999999997</v>
      </c>
      <c r="F3" s="34">
        <v>0.97</v>
      </c>
      <c r="G3" s="34">
        <v>0.97499999999999998</v>
      </c>
      <c r="H3" s="34">
        <v>0.88900000000000001</v>
      </c>
      <c r="I3" s="34">
        <v>0.84799999999999998</v>
      </c>
      <c r="J3" s="34">
        <v>0.86399999999999999</v>
      </c>
      <c r="K3" s="34">
        <v>0.95499999999999996</v>
      </c>
      <c r="L3" s="34">
        <v>0.93400000000000005</v>
      </c>
      <c r="M3" s="34">
        <v>0.81599999999999995</v>
      </c>
      <c r="N3" s="34">
        <v>0.90500000000000003</v>
      </c>
      <c r="O3" s="96">
        <v>0.96200000000000008</v>
      </c>
      <c r="P3" s="96">
        <v>0.97099999999999997</v>
      </c>
    </row>
    <row r="4" spans="1:16">
      <c r="A4" s="28" t="s">
        <v>39</v>
      </c>
      <c r="C4" s="33">
        <v>1.2999999999999999E-2</v>
      </c>
      <c r="D4" s="33">
        <v>1.0999999999999999E-2</v>
      </c>
      <c r="E4" s="33">
        <v>8.9999999999999993E-3</v>
      </c>
      <c r="F4" s="33">
        <v>1.0999999999999999E-2</v>
      </c>
      <c r="G4" s="33">
        <v>-8.9999999999999993E-3</v>
      </c>
      <c r="H4" s="33">
        <v>8.0000000000000002E-3</v>
      </c>
      <c r="I4" s="33">
        <v>8.9999999999999993E-3</v>
      </c>
      <c r="J4" s="33">
        <v>0.01</v>
      </c>
      <c r="K4" s="33">
        <v>8.9999999999999993E-3</v>
      </c>
      <c r="L4" s="33">
        <v>8.0000000000000002E-3</v>
      </c>
      <c r="M4" s="33">
        <v>8.9999999999999993E-3</v>
      </c>
      <c r="N4" s="33">
        <v>0.01</v>
      </c>
      <c r="O4" s="97">
        <v>0.01</v>
      </c>
      <c r="P4" s="97">
        <v>8.9999999999999993E-3</v>
      </c>
    </row>
    <row r="5" spans="1:16">
      <c r="A5" s="28" t="s">
        <v>40</v>
      </c>
      <c r="C5" s="33">
        <v>0</v>
      </c>
      <c r="D5" s="33">
        <v>1E-3</v>
      </c>
      <c r="E5" s="33">
        <v>4.0000000000000001E-3</v>
      </c>
      <c r="F5" s="33">
        <v>0</v>
      </c>
      <c r="G5" s="33">
        <v>1E-3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97">
        <v>0</v>
      </c>
      <c r="P5" s="97">
        <v>0</v>
      </c>
    </row>
    <row r="6" spans="1:16">
      <c r="A6" s="28" t="s">
        <v>41</v>
      </c>
      <c r="C6" s="33">
        <v>1.2999999999999999E-2</v>
      </c>
      <c r="D6" s="33">
        <v>1.6E-2</v>
      </c>
      <c r="E6" s="33">
        <v>2.1000000000000001E-2</v>
      </c>
      <c r="F6" s="33">
        <v>1.9E-2</v>
      </c>
      <c r="G6" s="33">
        <v>3.3000000000000002E-2</v>
      </c>
      <c r="H6" s="33">
        <v>0.10299999999999999</v>
      </c>
      <c r="I6" s="33">
        <v>0.14399999999999999</v>
      </c>
      <c r="J6" s="33">
        <v>0.126</v>
      </c>
      <c r="K6" s="33">
        <v>3.5999999999999997E-2</v>
      </c>
      <c r="L6" s="33">
        <v>5.7000000000000002E-2</v>
      </c>
      <c r="M6" s="33">
        <v>0.17499999999999999</v>
      </c>
      <c r="N6" s="33">
        <v>8.5000000000000006E-2</v>
      </c>
      <c r="O6" s="97">
        <v>2.8999999999999998E-2</v>
      </c>
      <c r="P6" s="97">
        <v>0.02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pane ySplit="8" topLeftCell="A9" activePane="bottomLeft" state="frozen"/>
      <selection activeCell="J30" sqref="J30"/>
      <selection pane="bottomLeft" activeCell="F19" sqref="F19"/>
    </sheetView>
  </sheetViews>
  <sheetFormatPr defaultColWidth="8.85546875" defaultRowHeight="12.75"/>
  <cols>
    <col min="1" max="1" width="10.7109375" style="120" customWidth="1"/>
    <col min="2" max="2" width="5" style="119" bestFit="1" customWidth="1"/>
    <col min="3" max="3" width="0.28515625" style="120" customWidth="1"/>
    <col min="4" max="4" width="12.7109375" style="120" customWidth="1"/>
    <col min="5" max="5" width="0.28515625" style="120" customWidth="1"/>
    <col min="6" max="6" width="15.7109375" style="120" customWidth="1"/>
    <col min="7" max="7" width="0.28515625" style="120" customWidth="1"/>
    <col min="8" max="8" width="12.85546875" style="120" customWidth="1"/>
    <col min="9" max="9" width="0.28515625" style="120" customWidth="1"/>
    <col min="10" max="10" width="12.7109375" style="120" customWidth="1"/>
    <col min="11" max="11" width="3.7109375" style="120" customWidth="1"/>
    <col min="12" max="12" width="0.28515625" style="120" customWidth="1"/>
    <col min="13" max="13" width="12.7109375" style="120" customWidth="1"/>
    <col min="14" max="14" width="0.28515625" style="120" customWidth="1"/>
    <col min="15" max="15" width="9.7109375" style="120" customWidth="1"/>
    <col min="16" max="16" width="0.28515625" style="120" customWidth="1"/>
    <col min="17" max="17" width="3.7109375" style="120" customWidth="1"/>
    <col min="18" max="18" width="0.28515625" style="120" customWidth="1"/>
    <col min="19" max="19" width="12" style="120" bestFit="1" customWidth="1"/>
    <col min="20" max="20" width="2.28515625" style="120" customWidth="1"/>
    <col min="21" max="16384" width="8.85546875" style="120"/>
  </cols>
  <sheetData>
    <row r="1" spans="2:20" ht="15" customHeight="1"/>
    <row r="2" spans="2:20">
      <c r="Q2" s="120" t="s">
        <v>63</v>
      </c>
    </row>
    <row r="4" spans="2:20">
      <c r="F4" s="121" t="s">
        <v>64</v>
      </c>
    </row>
    <row r="5" spans="2:20">
      <c r="H5" s="120" t="s">
        <v>65</v>
      </c>
    </row>
    <row r="6" spans="2:20">
      <c r="H6" s="122" t="s">
        <v>66</v>
      </c>
    </row>
    <row r="8" spans="2:20">
      <c r="J8" s="119" t="s">
        <v>13</v>
      </c>
    </row>
    <row r="9" spans="2:20" ht="13.5" thickBot="1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2:20" ht="30" customHeight="1" thickBot="1">
      <c r="B10" s="125" t="s">
        <v>67</v>
      </c>
      <c r="C10" s="126"/>
      <c r="D10" s="127" t="s">
        <v>68</v>
      </c>
      <c r="E10" s="128"/>
      <c r="F10" s="129" t="s">
        <v>69</v>
      </c>
      <c r="G10" s="128"/>
      <c r="H10" s="129" t="s">
        <v>70</v>
      </c>
      <c r="I10" s="128"/>
      <c r="J10" s="129" t="s">
        <v>71</v>
      </c>
      <c r="K10" s="130"/>
      <c r="L10" s="128"/>
      <c r="M10" s="129" t="s">
        <v>72</v>
      </c>
      <c r="N10" s="131"/>
      <c r="O10" s="132" t="s">
        <v>73</v>
      </c>
      <c r="P10" s="133"/>
      <c r="Q10" s="134"/>
      <c r="R10" s="131"/>
      <c r="S10" s="135" t="s">
        <v>74</v>
      </c>
      <c r="T10" s="136"/>
    </row>
    <row r="11" spans="2:20" ht="30" customHeight="1" thickBot="1">
      <c r="B11" s="137"/>
      <c r="C11" s="138"/>
      <c r="D11" s="139"/>
      <c r="E11" s="138"/>
      <c r="F11" s="140" t="s">
        <v>75</v>
      </c>
      <c r="G11" s="138"/>
      <c r="H11" s="139"/>
      <c r="I11" s="138"/>
      <c r="J11" s="139"/>
      <c r="K11" s="141"/>
      <c r="L11" s="138"/>
      <c r="M11" s="139"/>
      <c r="N11" s="142"/>
      <c r="O11" s="143"/>
      <c r="P11" s="144"/>
      <c r="Q11" s="145"/>
      <c r="R11" s="142"/>
      <c r="S11" s="146"/>
      <c r="T11" s="136"/>
    </row>
    <row r="12" spans="2:20" ht="12.75" customHeight="1">
      <c r="B12" s="147"/>
      <c r="C12" s="148"/>
      <c r="D12" s="149"/>
      <c r="E12" s="148"/>
      <c r="F12" s="149"/>
      <c r="G12" s="148"/>
      <c r="H12" s="149"/>
      <c r="I12" s="148"/>
      <c r="J12" s="149"/>
      <c r="K12" s="150"/>
      <c r="L12" s="148"/>
      <c r="M12" s="149"/>
      <c r="N12" s="148"/>
      <c r="O12" s="149"/>
      <c r="P12" s="148"/>
      <c r="Q12" s="149"/>
      <c r="R12" s="148"/>
      <c r="S12" s="151"/>
      <c r="T12" s="124"/>
    </row>
    <row r="13" spans="2:20" ht="15" customHeight="1">
      <c r="B13" s="152">
        <v>1</v>
      </c>
      <c r="C13" s="142"/>
      <c r="D13" s="145" t="s">
        <v>76</v>
      </c>
      <c r="E13" s="142"/>
      <c r="F13" s="153">
        <v>648913758</v>
      </c>
      <c r="G13" s="142"/>
      <c r="H13" s="154">
        <f>ROUND(F13/$F$18,4)</f>
        <v>0.54449999999999998</v>
      </c>
      <c r="I13" s="142"/>
      <c r="J13" s="155">
        <v>4.36E-2</v>
      </c>
      <c r="K13" s="156"/>
      <c r="L13" s="142"/>
      <c r="M13" s="154">
        <f>ROUND(H13*J13,4)</f>
        <v>2.3699999999999999E-2</v>
      </c>
      <c r="N13" s="142"/>
      <c r="O13" s="157">
        <f>O42</f>
        <v>1.0053700000000001</v>
      </c>
      <c r="P13" s="142"/>
      <c r="Q13" s="158"/>
      <c r="R13" s="142"/>
      <c r="S13" s="159">
        <f>ROUND(M13*O13,6)</f>
        <v>2.3827000000000001E-2</v>
      </c>
      <c r="T13" s="160"/>
    </row>
    <row r="14" spans="2:20" ht="15">
      <c r="B14" s="152">
        <f>+B13+1</f>
        <v>2</v>
      </c>
      <c r="C14" s="142"/>
      <c r="D14" s="145" t="s">
        <v>77</v>
      </c>
      <c r="E14" s="142"/>
      <c r="F14" s="153">
        <v>0</v>
      </c>
      <c r="G14" s="142"/>
      <c r="H14" s="154">
        <f>ROUND(F14/$F$18,4)</f>
        <v>0</v>
      </c>
      <c r="I14" s="142"/>
      <c r="J14" s="155">
        <v>8.0000000000000002E-3</v>
      </c>
      <c r="K14" s="156"/>
      <c r="L14" s="142"/>
      <c r="M14" s="154">
        <f>ROUND(H14*J14,4)</f>
        <v>0</v>
      </c>
      <c r="N14" s="142"/>
      <c r="O14" s="157">
        <f>O42</f>
        <v>1.0053700000000001</v>
      </c>
      <c r="P14" s="142"/>
      <c r="Q14" s="145"/>
      <c r="R14" s="142"/>
      <c r="S14" s="159">
        <f>ROUND(M14*O14,6)</f>
        <v>0</v>
      </c>
      <c r="T14" s="160"/>
    </row>
    <row r="15" spans="2:20" ht="26.25">
      <c r="B15" s="152">
        <f>+B14+1</f>
        <v>3</v>
      </c>
      <c r="C15" s="142"/>
      <c r="D15" s="161" t="s">
        <v>78</v>
      </c>
      <c r="E15" s="142"/>
      <c r="F15" s="153">
        <v>46105009</v>
      </c>
      <c r="G15" s="142"/>
      <c r="H15" s="154">
        <f>ROUND(F15/$F$18,4)</f>
        <v>3.8699999999999998E-2</v>
      </c>
      <c r="I15" s="142"/>
      <c r="J15" s="155">
        <v>1.95E-2</v>
      </c>
      <c r="K15" s="156"/>
      <c r="L15" s="142"/>
      <c r="M15" s="154">
        <f>ROUND(H15*J15,4)</f>
        <v>8.0000000000000004E-4</v>
      </c>
      <c r="N15" s="142"/>
      <c r="O15" s="157">
        <f>O42</f>
        <v>1.0053700000000001</v>
      </c>
      <c r="P15" s="142"/>
      <c r="Q15" s="145"/>
      <c r="R15" s="142"/>
      <c r="S15" s="159">
        <f>ROUND(M15*O15,6)</f>
        <v>8.0400000000000003E-4</v>
      </c>
      <c r="T15" s="160"/>
    </row>
    <row r="16" spans="2:20" ht="15">
      <c r="B16" s="152">
        <f>+B15+1</f>
        <v>4</v>
      </c>
      <c r="C16" s="142"/>
      <c r="D16" s="145" t="s">
        <v>79</v>
      </c>
      <c r="E16" s="142"/>
      <c r="F16" s="153">
        <v>496766726</v>
      </c>
      <c r="G16" s="142"/>
      <c r="H16" s="154">
        <f>ROUND(F16/$F$18,4)</f>
        <v>0.4168</v>
      </c>
      <c r="I16" s="142"/>
      <c r="J16" s="162">
        <v>0.1031</v>
      </c>
      <c r="K16" s="163" t="s">
        <v>80</v>
      </c>
      <c r="L16" s="142"/>
      <c r="M16" s="154">
        <f>ROUND(H16*J16,4)</f>
        <v>4.2999999999999997E-2</v>
      </c>
      <c r="N16" s="142"/>
      <c r="O16" s="164">
        <f>S42</f>
        <v>1.6432500000000001</v>
      </c>
      <c r="P16" s="142"/>
      <c r="Q16" s="165"/>
      <c r="R16" s="142"/>
      <c r="S16" s="159">
        <f>ROUND(M16*O16,6)</f>
        <v>7.0660000000000001E-2</v>
      </c>
      <c r="T16" s="160"/>
    </row>
    <row r="17" spans="2:21" ht="15">
      <c r="B17" s="152"/>
      <c r="C17" s="142"/>
      <c r="D17" s="145"/>
      <c r="E17" s="142"/>
      <c r="F17" s="153"/>
      <c r="G17" s="142"/>
      <c r="H17" s="166"/>
      <c r="I17" s="142"/>
      <c r="J17" s="167"/>
      <c r="K17" s="156"/>
      <c r="L17" s="142"/>
      <c r="M17" s="166"/>
      <c r="N17" s="142"/>
      <c r="O17" s="143"/>
      <c r="P17" s="142"/>
      <c r="Q17" s="145"/>
      <c r="R17" s="142"/>
      <c r="S17" s="168"/>
      <c r="T17" s="169"/>
    </row>
    <row r="18" spans="2:21" ht="15">
      <c r="B18" s="152">
        <f>+B16+1</f>
        <v>5</v>
      </c>
      <c r="C18" s="142"/>
      <c r="D18" s="145" t="s">
        <v>81</v>
      </c>
      <c r="E18" s="142"/>
      <c r="F18" s="170">
        <f>SUM(F13:F16)</f>
        <v>1191785493</v>
      </c>
      <c r="G18" s="142"/>
      <c r="H18" s="171">
        <f>SUM(H13:H16)</f>
        <v>1</v>
      </c>
      <c r="I18" s="142"/>
      <c r="J18" s="167"/>
      <c r="K18" s="156"/>
      <c r="L18" s="142"/>
      <c r="M18" s="171" t="s">
        <v>13</v>
      </c>
      <c r="N18" s="142"/>
      <c r="O18" s="145"/>
      <c r="P18" s="142"/>
      <c r="Q18" s="145"/>
      <c r="R18" s="142"/>
      <c r="S18" s="172">
        <f>SUM(S13:S17)</f>
        <v>9.5291000000000001E-2</v>
      </c>
      <c r="T18" s="173"/>
    </row>
    <row r="19" spans="2:21" ht="15">
      <c r="B19" s="152"/>
      <c r="C19" s="142"/>
      <c r="D19" s="145"/>
      <c r="E19" s="142"/>
      <c r="F19" s="145"/>
      <c r="G19" s="142"/>
      <c r="H19" s="145"/>
      <c r="I19" s="142"/>
      <c r="J19" s="145"/>
      <c r="K19" s="156"/>
      <c r="L19" s="142"/>
      <c r="M19" s="145"/>
      <c r="N19" s="142"/>
      <c r="O19" s="145"/>
      <c r="P19" s="142"/>
      <c r="Q19" s="145"/>
      <c r="R19" s="142"/>
      <c r="S19" s="174"/>
      <c r="T19" s="124"/>
    </row>
    <row r="20" spans="2:21" ht="15.75" thickBot="1">
      <c r="B20" s="175"/>
      <c r="C20" s="176"/>
      <c r="D20" s="177"/>
      <c r="E20" s="176"/>
      <c r="F20" s="177"/>
      <c r="G20" s="176"/>
      <c r="H20" s="177"/>
      <c r="I20" s="176"/>
      <c r="J20" s="177"/>
      <c r="K20" s="178"/>
      <c r="L20" s="176"/>
      <c r="M20" s="177"/>
      <c r="N20" s="176"/>
      <c r="O20" s="177"/>
      <c r="P20" s="176"/>
      <c r="Q20" s="177"/>
      <c r="R20" s="176"/>
      <c r="S20" s="179"/>
      <c r="T20" s="124"/>
    </row>
    <row r="21" spans="2:21" hidden="1">
      <c r="B21" s="180"/>
      <c r="C21" s="18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81"/>
      <c r="O21" s="124"/>
      <c r="P21" s="182"/>
      <c r="Q21" s="124"/>
      <c r="R21" s="124"/>
      <c r="S21" s="183"/>
      <c r="T21" s="124"/>
    </row>
    <row r="22" spans="2:21" ht="12" hidden="1" customHeight="1">
      <c r="B22" s="180"/>
      <c r="C22" s="18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81"/>
      <c r="O22" s="124"/>
      <c r="P22" s="182"/>
      <c r="Q22" s="124"/>
      <c r="R22" s="124"/>
      <c r="S22" s="183"/>
      <c r="T22" s="124"/>
    </row>
    <row r="23" spans="2:21" s="186" customFormat="1" ht="12" customHeight="1"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4"/>
      <c r="Q23" s="185"/>
      <c r="R23" s="185"/>
      <c r="S23" s="185"/>
      <c r="T23" s="185"/>
    </row>
    <row r="24" spans="2:21" s="186" customFormat="1" ht="12" customHeight="1"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4"/>
      <c r="Q24" s="185"/>
      <c r="R24" s="185"/>
      <c r="S24" s="185"/>
      <c r="T24" s="185"/>
    </row>
    <row r="25" spans="2:21" s="186" customFormat="1" ht="12" customHeight="1"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7" t="s">
        <v>82</v>
      </c>
      <c r="P25" s="187"/>
      <c r="S25" s="187" t="s">
        <v>83</v>
      </c>
      <c r="T25" s="185"/>
    </row>
    <row r="26" spans="2:21" ht="15">
      <c r="B26" s="165">
        <v>6</v>
      </c>
      <c r="C26" s="145"/>
      <c r="D26" s="158" t="s">
        <v>84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88">
        <v>100</v>
      </c>
      <c r="P26" s="145"/>
      <c r="Q26" s="145"/>
      <c r="R26" s="145"/>
      <c r="S26" s="189">
        <f>O26</f>
        <v>100</v>
      </c>
      <c r="T26" s="145"/>
      <c r="U26" s="190"/>
    </row>
    <row r="27" spans="2:21" ht="15">
      <c r="B27" s="165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190"/>
      <c r="U27" s="190"/>
    </row>
    <row r="28" spans="2:21" ht="15">
      <c r="B28" s="165">
        <v>7</v>
      </c>
      <c r="C28" s="190"/>
      <c r="D28" s="192" t="s">
        <v>85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3">
        <v>0.34</v>
      </c>
      <c r="P28" s="190"/>
      <c r="Q28" s="190"/>
      <c r="R28" s="190"/>
      <c r="S28" s="191">
        <f>O28</f>
        <v>0.34</v>
      </c>
      <c r="T28" s="190"/>
      <c r="U28" s="190"/>
    </row>
    <row r="29" spans="2:21" ht="15">
      <c r="B29" s="165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190"/>
      <c r="U29" s="190"/>
    </row>
    <row r="30" spans="2:21" ht="15">
      <c r="B30" s="165">
        <v>8</v>
      </c>
      <c r="C30" s="190"/>
      <c r="D30" s="192" t="s">
        <v>86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>
        <v>0.19409999999999999</v>
      </c>
      <c r="P30" s="190"/>
      <c r="Q30" s="190"/>
      <c r="R30" s="190"/>
      <c r="S30" s="191">
        <f>O30</f>
        <v>0.19409999999999999</v>
      </c>
      <c r="T30" s="190"/>
      <c r="U30" s="190"/>
    </row>
    <row r="31" spans="2:21" ht="15">
      <c r="B31" s="165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2" t="s">
        <v>13</v>
      </c>
      <c r="P31" s="190"/>
      <c r="Q31" s="190"/>
      <c r="R31" s="190"/>
      <c r="S31" s="191"/>
      <c r="T31" s="190"/>
      <c r="U31" s="190"/>
    </row>
    <row r="32" spans="2:21" ht="15">
      <c r="B32" s="165">
        <v>9</v>
      </c>
      <c r="C32" s="190"/>
      <c r="D32" s="192" t="s">
        <v>87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3">
        <f>O26-O28-O30</f>
        <v>99.465899999999991</v>
      </c>
      <c r="P32" s="190"/>
      <c r="Q32" s="190"/>
      <c r="R32" s="190"/>
      <c r="S32" s="191">
        <f>S26-S28-S30</f>
        <v>99.465899999999991</v>
      </c>
      <c r="T32" s="190"/>
      <c r="U32" s="190"/>
    </row>
    <row r="33" spans="1:24" ht="15">
      <c r="B33" s="165"/>
      <c r="C33" s="190"/>
      <c r="D33" s="192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1"/>
      <c r="T33" s="190"/>
      <c r="U33" s="190"/>
      <c r="X33" s="120" t="s">
        <v>13</v>
      </c>
    </row>
    <row r="34" spans="1:24" ht="15">
      <c r="B34" s="165">
        <v>10</v>
      </c>
      <c r="C34" s="190"/>
      <c r="D34" s="194" t="s">
        <v>88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5"/>
      <c r="P34" s="190"/>
      <c r="Q34" s="190"/>
      <c r="R34" s="190"/>
      <c r="S34" s="191">
        <f>ROUND(S32*0.058742,6)</f>
        <v>5.8428259999999996</v>
      </c>
      <c r="T34" s="190"/>
      <c r="U34" s="190"/>
    </row>
    <row r="35" spans="1:24" ht="15">
      <c r="B35" s="165"/>
      <c r="C35" s="190"/>
      <c r="D35" s="192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6"/>
      <c r="P35" s="190"/>
      <c r="Q35" s="190"/>
      <c r="R35" s="190"/>
      <c r="S35" s="191"/>
      <c r="T35" s="190"/>
      <c r="U35" s="190"/>
    </row>
    <row r="36" spans="1:24" ht="15">
      <c r="B36" s="165">
        <v>11</v>
      </c>
      <c r="C36" s="190"/>
      <c r="D36" s="194" t="s">
        <v>89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6"/>
      <c r="P36" s="190"/>
      <c r="Q36" s="190"/>
      <c r="R36" s="190"/>
      <c r="S36" s="191">
        <f>S32-S34</f>
        <v>93.623073999999988</v>
      </c>
      <c r="T36" s="190"/>
      <c r="U36" s="190"/>
    </row>
    <row r="37" spans="1:24" ht="15">
      <c r="B37" s="165"/>
      <c r="C37" s="190"/>
      <c r="D37" s="192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1"/>
      <c r="T37" s="190"/>
      <c r="U37" s="190"/>
    </row>
    <row r="38" spans="1:24" ht="15">
      <c r="B38" s="165">
        <f>B36+1</f>
        <v>12</v>
      </c>
      <c r="C38" s="190"/>
      <c r="D38" s="194" t="s">
        <v>90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7">
        <f>S36*0.35</f>
        <v>32.768075899999992</v>
      </c>
      <c r="T38" s="190"/>
      <c r="U38" s="190"/>
    </row>
    <row r="39" spans="1:24" ht="15">
      <c r="B39" s="165"/>
      <c r="C39" s="190"/>
      <c r="D39" s="194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190"/>
      <c r="U39" s="190"/>
    </row>
    <row r="40" spans="1:24" ht="15">
      <c r="B40" s="165">
        <f>B38+1</f>
        <v>13</v>
      </c>
      <c r="C40" s="190"/>
      <c r="D40" s="194" t="s">
        <v>91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1">
        <f>S36-S38</f>
        <v>60.854998099999996</v>
      </c>
      <c r="T40" s="190"/>
      <c r="U40" s="190"/>
    </row>
    <row r="41" spans="1:24" ht="15">
      <c r="B41" s="165"/>
      <c r="C41" s="190"/>
      <c r="D41" s="194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8"/>
      <c r="T41" s="190"/>
      <c r="U41" s="190"/>
    </row>
    <row r="42" spans="1:24" ht="15">
      <c r="B42" s="165">
        <f>B40+1</f>
        <v>14</v>
      </c>
      <c r="C42" s="190"/>
      <c r="D42" s="194" t="s">
        <v>92</v>
      </c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9">
        <f>ROUND(100/O32,6)</f>
        <v>1.0053700000000001</v>
      </c>
      <c r="P42" s="190"/>
      <c r="Q42" s="190"/>
      <c r="R42" s="190"/>
      <c r="S42" s="200">
        <f>ROUND(100/S40,6)</f>
        <v>1.6432500000000001</v>
      </c>
      <c r="T42" s="190"/>
      <c r="U42" s="190"/>
    </row>
    <row r="43" spans="1:24" ht="15">
      <c r="B43" s="165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8"/>
      <c r="T43" s="190"/>
      <c r="U43" s="190"/>
    </row>
    <row r="44" spans="1:24">
      <c r="A44" s="122"/>
      <c r="B44" s="20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202"/>
      <c r="T44" s="194"/>
      <c r="U44" s="194"/>
      <c r="V44" s="122"/>
      <c r="W44" s="122"/>
    </row>
    <row r="45" spans="1:24">
      <c r="A45" s="195" t="s">
        <v>13</v>
      </c>
      <c r="B45" s="201"/>
      <c r="C45" s="194"/>
      <c r="D45" s="122" t="s">
        <v>13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202"/>
      <c r="T45" s="194"/>
      <c r="U45" s="194"/>
      <c r="V45" s="122"/>
      <c r="W45" s="122"/>
    </row>
    <row r="46" spans="1:24">
      <c r="A46" s="203" t="s">
        <v>13</v>
      </c>
      <c r="B46" s="204"/>
      <c r="C46" s="205" t="s">
        <v>93</v>
      </c>
      <c r="D46" s="205" t="s">
        <v>13</v>
      </c>
      <c r="E46" s="205"/>
      <c r="F46" s="205"/>
      <c r="G46" s="205"/>
      <c r="H46" s="122"/>
      <c r="I46" s="122"/>
      <c r="J46" s="122"/>
      <c r="K46" s="122"/>
      <c r="L46" s="122"/>
      <c r="M46" s="122"/>
      <c r="N46" s="122"/>
      <c r="O46" s="194"/>
      <c r="P46" s="194"/>
      <c r="Q46" s="194"/>
      <c r="R46" s="194"/>
      <c r="S46" s="194"/>
      <c r="T46" s="194"/>
      <c r="U46" s="194"/>
      <c r="V46" s="122"/>
      <c r="W46" s="122"/>
    </row>
    <row r="47" spans="1:24">
      <c r="B47" s="196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</row>
    <row r="48" spans="1:24">
      <c r="B48" s="196"/>
      <c r="C48" s="190"/>
      <c r="D48" s="190"/>
      <c r="E48" s="190"/>
      <c r="F48" s="190"/>
      <c r="G48" s="190"/>
      <c r="H48" s="190"/>
      <c r="I48" s="206"/>
      <c r="J48" s="206" t="s">
        <v>94</v>
      </c>
      <c r="K48" s="206"/>
      <c r="L48" s="206"/>
      <c r="M48" s="206"/>
      <c r="N48" s="206"/>
      <c r="O48" s="207"/>
      <c r="P48" s="208"/>
      <c r="Q48" s="206"/>
      <c r="R48" s="206"/>
      <c r="S48" s="206"/>
      <c r="T48" s="206"/>
      <c r="U48" s="209"/>
    </row>
    <row r="49" spans="2:21">
      <c r="B49" s="196"/>
      <c r="C49" s="190"/>
      <c r="D49" s="190"/>
      <c r="E49" s="190"/>
      <c r="F49" s="190"/>
      <c r="G49" s="190"/>
      <c r="H49" s="190"/>
      <c r="I49" s="206"/>
      <c r="J49" s="206"/>
      <c r="K49" s="206"/>
      <c r="L49" s="206"/>
      <c r="M49" s="206"/>
      <c r="N49" s="206"/>
      <c r="O49" s="206"/>
      <c r="P49" s="208"/>
      <c r="Q49" s="206"/>
      <c r="R49" s="206"/>
      <c r="S49" s="206"/>
      <c r="T49" s="206"/>
      <c r="U49" s="209"/>
    </row>
    <row r="50" spans="2:21">
      <c r="B50" s="196"/>
      <c r="C50" s="190"/>
      <c r="D50" s="190"/>
      <c r="E50" s="190"/>
      <c r="F50" s="190"/>
      <c r="G50" s="190"/>
      <c r="H50" s="190"/>
      <c r="I50" s="206"/>
      <c r="J50" s="206"/>
      <c r="K50" s="206"/>
      <c r="L50" s="206"/>
      <c r="M50" s="206"/>
      <c r="N50" s="206"/>
      <c r="O50" s="206"/>
      <c r="P50" s="208"/>
      <c r="Q50" s="206"/>
      <c r="R50" s="206"/>
      <c r="S50" s="206"/>
      <c r="T50" s="206"/>
      <c r="U50" s="209"/>
    </row>
    <row r="51" spans="2:21">
      <c r="B51" s="196"/>
      <c r="C51" s="190"/>
      <c r="D51" s="190"/>
      <c r="E51" s="190"/>
      <c r="F51" s="190"/>
      <c r="G51" s="190"/>
      <c r="H51" s="190"/>
      <c r="I51" s="206"/>
      <c r="J51" s="206"/>
      <c r="K51" s="206"/>
      <c r="L51" s="206"/>
      <c r="M51" s="206"/>
      <c r="N51" s="206"/>
      <c r="O51" s="206"/>
      <c r="P51" s="208"/>
      <c r="Q51" s="206"/>
      <c r="R51" s="206"/>
      <c r="S51" s="206"/>
      <c r="T51" s="206"/>
      <c r="U51" s="209"/>
    </row>
    <row r="52" spans="2:21">
      <c r="B52" s="196"/>
      <c r="C52" s="190"/>
      <c r="D52" s="190"/>
      <c r="E52" s="190"/>
      <c r="F52" s="190"/>
      <c r="G52" s="190"/>
      <c r="H52" s="190"/>
      <c r="I52" s="206"/>
      <c r="J52" s="206"/>
      <c r="K52" s="206"/>
      <c r="L52" s="206"/>
      <c r="M52" s="206"/>
      <c r="N52" s="206"/>
      <c r="O52" s="206"/>
      <c r="P52" s="208"/>
      <c r="Q52" s="206"/>
      <c r="R52" s="206"/>
      <c r="S52" s="206"/>
      <c r="T52" s="206"/>
      <c r="U52" s="209"/>
    </row>
    <row r="53" spans="2:21">
      <c r="B53" s="196"/>
      <c r="C53" s="190"/>
      <c r="D53" s="190"/>
      <c r="E53" s="190"/>
      <c r="F53" s="190"/>
      <c r="G53" s="190"/>
      <c r="H53" s="190"/>
      <c r="I53" s="206"/>
      <c r="J53" s="206"/>
      <c r="K53" s="206"/>
      <c r="L53" s="206"/>
      <c r="M53" s="206"/>
      <c r="N53" s="206"/>
      <c r="O53" s="206"/>
      <c r="P53" s="208"/>
      <c r="Q53" s="206"/>
      <c r="R53" s="206"/>
      <c r="S53" s="206"/>
      <c r="T53" s="206"/>
      <c r="U53" s="209"/>
    </row>
    <row r="54" spans="2:21">
      <c r="B54" s="19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</row>
    <row r="55" spans="2:21">
      <c r="B55" s="210" t="s">
        <v>13</v>
      </c>
      <c r="C55" s="211"/>
      <c r="D55" s="206"/>
      <c r="E55" s="206"/>
      <c r="F55" s="206"/>
      <c r="G55" s="206"/>
      <c r="H55" s="206"/>
    </row>
    <row r="57" spans="2:21">
      <c r="B57" s="211"/>
      <c r="C57" s="211"/>
      <c r="D57" s="206"/>
      <c r="E57" s="206"/>
      <c r="F57" s="206"/>
      <c r="G57" s="206"/>
      <c r="H57" s="206"/>
    </row>
    <row r="58" spans="2:21">
      <c r="B58" s="196"/>
      <c r="C58" s="190"/>
      <c r="D58" s="190"/>
      <c r="E58" s="190"/>
      <c r="F58" s="190"/>
      <c r="G58" s="190"/>
      <c r="H58" s="190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03558-9D8F-402E-843D-D3BC1CBEC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222EC-C989-4406-B67C-B2D64CAF1B2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183F87F-2BCD-4C2C-9DC3-0E30A4AF9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Non-FGD</vt:lpstr>
      <vt:lpstr>Rockport</vt:lpstr>
      <vt:lpstr>Property Tax</vt:lpstr>
      <vt:lpstr>Allocation Factors</vt:lpstr>
      <vt:lpstr>3.15 </vt:lpstr>
      <vt:lpstr>'Non-FGD'!Print_Area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