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75" windowWidth="12510" windowHeight="5985" tabRatio="903" activeTab="2"/>
  </bookViews>
  <sheets>
    <sheet name="Summary" sheetId="23" r:id="rId1"/>
    <sheet name="Sch 1" sheetId="8" r:id="rId2"/>
    <sheet name="Sch 2" sheetId="9" r:id="rId3"/>
    <sheet name="2 P1" sheetId="10" r:id="rId4"/>
    <sheet name="2 P2" sheetId="11" r:id="rId5"/>
    <sheet name="2 P3" sheetId="12" r:id="rId6"/>
    <sheet name="Sch 3" sheetId="13" r:id="rId7"/>
    <sheet name="3 P1" sheetId="14" r:id="rId8"/>
    <sheet name="3 P2" sheetId="15" r:id="rId9"/>
    <sheet name="3 P3" sheetId="17" r:id="rId10"/>
    <sheet name="Sch 4" sheetId="1" r:id="rId11"/>
    <sheet name="Sch 5" sheetId="4" r:id="rId12"/>
    <sheet name="Sch 6" sheetId="5" r:id="rId13"/>
    <sheet name="Sch 7" sheetId="6" r:id="rId14"/>
    <sheet name="Sch 8" sheetId="7" r:id="rId15"/>
    <sheet name="Sch 9" sheetId="18" r:id="rId16"/>
    <sheet name="Sch 10" sheetId="19" r:id="rId17"/>
    <sheet name="Allocation Factors" sheetId="3" r:id="rId18"/>
    <sheet name="Olive Hill - Vanceburg" sheetId="20" r:id="rId19"/>
  </sheets>
  <externalReferences>
    <externalReference r:id="rId20"/>
    <externalReference r:id="rId21"/>
  </externalReferences>
  <definedNames>
    <definedName name="AllocFactors">[1]Table!$G$6:$H$13</definedName>
    <definedName name="Begin_Print1">'[2]Big Sandy Detail'!#REF!</definedName>
    <definedName name="Begin_Print2">'[2]Big Sandy Detail'!#REF!</definedName>
    <definedName name="End_of_Report">'[2]Big Sandy Detail'!#REF!</definedName>
    <definedName name="End_Print1">'[2]Big Sandy Detail'!#REF!</definedName>
    <definedName name="End_Print2">'[2]Big Sandy Detail'!#REF!</definedName>
    <definedName name="NvsASD">"V2013-03-31"</definedName>
    <definedName name="NvsAutoDrillOk">"VN"</definedName>
    <definedName name="NvsElapsedTime">0.000115740738692693</definedName>
    <definedName name="NvsEndTime">41370.633587963</definedName>
    <definedName name="NvsInstanceHook">"""nvsMacro"""</definedName>
    <definedName name="NvsInstLang">"VENG"</definedName>
    <definedName name="NvsInstSpec">"%,FBUSINESS_UNIT,V117"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_xlnm.Print_Area" localSheetId="8">'3 P2'!$A$1:$F$43</definedName>
    <definedName name="_xlnm.Print_Area" localSheetId="9">'3 P3'!$A$1:$I$45</definedName>
    <definedName name="_xlnm.Print_Area" localSheetId="17">'Allocation Factors'!$A$1:$K$40</definedName>
    <definedName name="_xlnm.Print_Area" localSheetId="1">'Sch 1'!$A$1:$J$53</definedName>
    <definedName name="_xlnm.Print_Area" localSheetId="16">'Sch 10'!$B$1:$P$44</definedName>
    <definedName name="_xlnm.Print_Area" localSheetId="6">'Sch 3'!$A$1:$AB$32</definedName>
    <definedName name="_xlnm.Print_Area" localSheetId="10">'Sch 4'!$A$1:$I$522</definedName>
    <definedName name="_xlnm.Print_Area" localSheetId="11">'Sch 5'!$A$1:$BA$508</definedName>
    <definedName name="_xlnm.Print_Area" localSheetId="12">'Sch 6'!$A$1:$N$60</definedName>
    <definedName name="_xlnm.Print_Area" localSheetId="14">'Sch 8'!$A$1:$AC$57</definedName>
    <definedName name="_xlnm.Print_Area" localSheetId="15">'Sch 9'!$B$1:$Q$50</definedName>
    <definedName name="_xlnm.Print_Area" localSheetId="0">Summary!$A$1:$F$25</definedName>
    <definedName name="_xlnm.Print_Titles" localSheetId="8">'3 P2'!$1:$9</definedName>
    <definedName name="_xlnm.Print_Titles" localSheetId="1">'Sch 1'!$1:$9</definedName>
    <definedName name="_xlnm.Print_Titles" localSheetId="10">'Sch 4'!$1:$5</definedName>
    <definedName name="_xlnm.Print_Titles" localSheetId="11">'Sch 5'!$A:$B,'Sch 5'!$1:$4</definedName>
    <definedName name="search_directory_name">"R:\fcm90prd\nvision\rpts\Fin_Reports\"</definedName>
  </definedNames>
  <calcPr calcId="145621" iterate="1"/>
</workbook>
</file>

<file path=xl/calcChain.xml><?xml version="1.0" encoding="utf-8"?>
<calcChain xmlns="http://schemas.openxmlformats.org/spreadsheetml/2006/main">
  <c r="I25" i="11" l="1"/>
  <c r="I21" i="11"/>
  <c r="I11" i="11"/>
  <c r="I14" i="11" s="1"/>
  <c r="I16" i="11" s="1"/>
  <c r="I19" i="11" l="1"/>
  <c r="K19" i="10"/>
  <c r="I23" i="11" l="1"/>
  <c r="F472" i="1" l="1"/>
  <c r="G25" i="1"/>
  <c r="AM437" i="4"/>
  <c r="R433" i="4"/>
  <c r="AC320" i="4"/>
  <c r="R251" i="4"/>
  <c r="G11" i="10"/>
  <c r="M11" i="10" l="1"/>
  <c r="M13" i="10" s="1"/>
  <c r="O13" i="10" s="1"/>
  <c r="M15" i="10" l="1"/>
  <c r="O15" i="10" s="1"/>
  <c r="AL437" i="4"/>
  <c r="R320" i="4"/>
  <c r="U370" i="4" l="1"/>
  <c r="AI405" i="4"/>
  <c r="G53" i="11" l="1"/>
  <c r="AT41" i="4" l="1"/>
  <c r="AS501" i="4"/>
  <c r="G34" i="1"/>
  <c r="A14" i="23"/>
  <c r="J37" i="14" l="1"/>
  <c r="Q27" i="14"/>
  <c r="Q17" i="14"/>
  <c r="Q18" i="14"/>
  <c r="Q19" i="14"/>
  <c r="Q20" i="14"/>
  <c r="Q21" i="14"/>
  <c r="Q22" i="14"/>
  <c r="Q23" i="14"/>
  <c r="Q24" i="14"/>
  <c r="Q25" i="14"/>
  <c r="M17" i="14"/>
  <c r="M18" i="14"/>
  <c r="M19" i="14"/>
  <c r="M20" i="14"/>
  <c r="M21" i="14"/>
  <c r="M22" i="14"/>
  <c r="M23" i="14"/>
  <c r="M24" i="14"/>
  <c r="L27" i="14"/>
  <c r="J27" i="14"/>
  <c r="H27" i="14"/>
  <c r="L25" i="14"/>
  <c r="L21" i="14"/>
  <c r="L22" i="14"/>
  <c r="L23" i="14"/>
  <c r="L24" i="14"/>
  <c r="A21" i="14"/>
  <c r="A22" i="14" s="1"/>
  <c r="A23" i="14" s="1"/>
  <c r="A24" i="14" s="1"/>
  <c r="A25" i="14" s="1"/>
  <c r="F198" i="1" l="1"/>
  <c r="F199" i="1" s="1"/>
  <c r="D199" i="1"/>
  <c r="E199" i="1"/>
  <c r="G199" i="1"/>
  <c r="D169" i="1"/>
  <c r="E169" i="1"/>
  <c r="F169" i="1"/>
  <c r="G169" i="1"/>
  <c r="D171" i="1"/>
  <c r="C171" i="1"/>
  <c r="F41" i="15" l="1"/>
  <c r="D8" i="23" l="1"/>
  <c r="D10" i="23" s="1"/>
  <c r="A18" i="23"/>
  <c r="A497" i="1" l="1"/>
  <c r="A498" i="1" s="1"/>
  <c r="A499" i="1" s="1"/>
  <c r="A500" i="1" s="1"/>
  <c r="C509" i="1" l="1"/>
  <c r="C470" i="1"/>
  <c r="C472" i="1"/>
  <c r="C394" i="1"/>
  <c r="C261" i="1" l="1"/>
  <c r="C226" i="1"/>
  <c r="E324" i="1" l="1"/>
  <c r="C444" i="1" l="1"/>
  <c r="C239" i="1" l="1"/>
  <c r="C124" i="1" l="1"/>
  <c r="C229" i="1" l="1"/>
  <c r="C236" i="1"/>
  <c r="D110" i="4" l="1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C109" i="4"/>
  <c r="C110" i="4" s="1"/>
  <c r="C108" i="4"/>
  <c r="C108" i="1" l="1"/>
  <c r="C110" i="1" s="1"/>
  <c r="C74" i="1"/>
  <c r="AI460" i="4" l="1"/>
  <c r="AI421" i="4"/>
  <c r="AI417" i="4"/>
  <c r="AI392" i="4"/>
  <c r="AI384" i="4"/>
  <c r="AI383" i="4"/>
  <c r="AI388" i="4" s="1"/>
  <c r="AI369" i="4"/>
  <c r="AI377" i="4" s="1"/>
  <c r="AI299" i="4"/>
  <c r="AI295" i="4"/>
  <c r="AE280" i="4" l="1"/>
  <c r="Q7" i="4" l="1"/>
  <c r="E16" i="17" l="1"/>
  <c r="E28" i="17" s="1"/>
  <c r="E14" i="17"/>
  <c r="E26" i="17" s="1"/>
  <c r="I12" i="17"/>
  <c r="I10" i="17"/>
  <c r="G10" i="17" s="1"/>
  <c r="E10" i="17"/>
  <c r="E30" i="17" l="1"/>
  <c r="Y362" i="4"/>
  <c r="Y303" i="4"/>
  <c r="Y418" i="4"/>
  <c r="AI395" i="4" l="1"/>
  <c r="AF329" i="4"/>
  <c r="AE333" i="4"/>
  <c r="E311" i="4" l="1"/>
  <c r="E294" i="4"/>
  <c r="S12" i="13" l="1"/>
  <c r="Q12" i="13"/>
  <c r="Q18" i="13"/>
  <c r="K18" i="13"/>
  <c r="K12" i="13"/>
  <c r="I18" i="13"/>
  <c r="I12" i="13"/>
  <c r="F19" i="12"/>
  <c r="G19" i="12" s="1"/>
  <c r="E19" i="12"/>
  <c r="F17" i="12"/>
  <c r="E17" i="12"/>
  <c r="C34" i="5" l="1"/>
  <c r="J406" i="1" l="1"/>
  <c r="J481" i="1"/>
  <c r="J324" i="1"/>
  <c r="J316" i="1"/>
  <c r="J307" i="1"/>
  <c r="C187" i="1" l="1"/>
  <c r="C186" i="1"/>
  <c r="C185" i="1"/>
  <c r="C184" i="1"/>
  <c r="O22" i="18" l="1"/>
  <c r="E42" i="7"/>
  <c r="L16" i="14" l="1"/>
  <c r="M16" i="14" l="1"/>
  <c r="G22" i="18"/>
  <c r="F22" i="18"/>
  <c r="E22" i="18"/>
  <c r="H22" i="18"/>
  <c r="I22" i="18"/>
  <c r="J22" i="18"/>
  <c r="K22" i="18"/>
  <c r="L22" i="18"/>
  <c r="M22" i="18"/>
  <c r="N22" i="18"/>
  <c r="G36" i="3" l="1"/>
  <c r="C454" i="1" l="1"/>
  <c r="C453" i="1"/>
  <c r="C469" i="1" l="1"/>
  <c r="C505" i="1" l="1"/>
  <c r="C503" i="1"/>
  <c r="C490" i="1"/>
  <c r="C487" i="1"/>
  <c r="C486" i="1"/>
  <c r="C484" i="1"/>
  <c r="C483" i="1"/>
  <c r="C482" i="1"/>
  <c r="C481" i="1"/>
  <c r="C478" i="1" l="1"/>
  <c r="C477" i="1"/>
  <c r="C476" i="1"/>
  <c r="C435" i="1"/>
  <c r="C432" i="1"/>
  <c r="C431" i="1"/>
  <c r="C430" i="1"/>
  <c r="C429" i="1"/>
  <c r="C428" i="1"/>
  <c r="C424" i="1"/>
  <c r="C422" i="1"/>
  <c r="C421" i="1"/>
  <c r="C420" i="1"/>
  <c r="C414" i="1"/>
  <c r="C413" i="1"/>
  <c r="C412" i="1"/>
  <c r="C408" i="1"/>
  <c r="C406" i="1"/>
  <c r="C405" i="1"/>
  <c r="C398" i="1"/>
  <c r="C397" i="1"/>
  <c r="C377" i="1"/>
  <c r="C362" i="1"/>
  <c r="C357" i="1"/>
  <c r="C352" i="1"/>
  <c r="C351" i="1"/>
  <c r="C343" i="1"/>
  <c r="C342" i="1"/>
  <c r="C335" i="1"/>
  <c r="C324" i="1"/>
  <c r="C319" i="1"/>
  <c r="C316" i="1"/>
  <c r="C312" i="1"/>
  <c r="C310" i="1"/>
  <c r="C309" i="1"/>
  <c r="C308" i="1" l="1"/>
  <c r="C307" i="1"/>
  <c r="C265" i="1" l="1"/>
  <c r="C270" i="1" s="1"/>
  <c r="C266" i="1"/>
  <c r="C264" i="1"/>
  <c r="D137" i="1"/>
  <c r="D128" i="1"/>
  <c r="D129" i="1"/>
  <c r="D127" i="1"/>
  <c r="G51" i="11" l="1"/>
  <c r="G46" i="11"/>
  <c r="G41" i="11"/>
  <c r="G36" i="11"/>
  <c r="G498" i="4"/>
  <c r="AU498" i="4"/>
  <c r="AG498" i="4"/>
  <c r="E505" i="1" l="1"/>
  <c r="D505" i="1" s="1"/>
  <c r="AT492" i="4" l="1"/>
  <c r="AP7" i="4"/>
  <c r="AP8" i="4"/>
  <c r="AP9" i="4"/>
  <c r="G7" i="4" l="1"/>
  <c r="U18" i="13" l="1"/>
  <c r="S18" i="13"/>
  <c r="M18" i="13"/>
  <c r="U12" i="13"/>
  <c r="M12" i="13"/>
  <c r="I24" i="13"/>
  <c r="AW246" i="4" l="1"/>
  <c r="F498" i="4" l="1"/>
  <c r="F34" i="4" s="1"/>
  <c r="F492" i="4"/>
  <c r="F29" i="4" s="1"/>
  <c r="F463" i="4"/>
  <c r="F475" i="4" s="1"/>
  <c r="F26" i="4" s="1"/>
  <c r="F454" i="4"/>
  <c r="F450" i="4"/>
  <c r="F442" i="4"/>
  <c r="F419" i="4"/>
  <c r="F423" i="4" s="1"/>
  <c r="F402" i="4"/>
  <c r="F19" i="4" s="1"/>
  <c r="F395" i="4"/>
  <c r="F20" i="4" s="1"/>
  <c r="F388" i="4"/>
  <c r="F18" i="4" s="1"/>
  <c r="F377" i="4"/>
  <c r="F364" i="4"/>
  <c r="F349" i="4"/>
  <c r="F339" i="4"/>
  <c r="F323" i="4"/>
  <c r="F314" i="4"/>
  <c r="F307" i="4"/>
  <c r="F286" i="4"/>
  <c r="F274" i="4"/>
  <c r="F259" i="4"/>
  <c r="F246" i="4"/>
  <c r="F236" i="4"/>
  <c r="F231" i="4"/>
  <c r="F223" i="4"/>
  <c r="F214" i="4"/>
  <c r="F210" i="4"/>
  <c r="F206" i="4"/>
  <c r="F202" i="4"/>
  <c r="F198" i="4"/>
  <c r="F189" i="4"/>
  <c r="F186" i="4"/>
  <c r="F178" i="4"/>
  <c r="F169" i="4"/>
  <c r="F165" i="4"/>
  <c r="F157" i="4"/>
  <c r="F142" i="4"/>
  <c r="F124" i="4"/>
  <c r="F104" i="4"/>
  <c r="F94" i="4"/>
  <c r="F83" i="4"/>
  <c r="F74" i="4"/>
  <c r="F62" i="4"/>
  <c r="F52" i="4"/>
  <c r="F51" i="4"/>
  <c r="F50" i="4"/>
  <c r="F48" i="4"/>
  <c r="F47" i="4"/>
  <c r="F46" i="4"/>
  <c r="F40" i="4"/>
  <c r="F36" i="4"/>
  <c r="F35" i="4"/>
  <c r="F28" i="4"/>
  <c r="F9" i="4"/>
  <c r="F8" i="4"/>
  <c r="F7" i="4"/>
  <c r="F106" i="4" l="1"/>
  <c r="F171" i="4" s="1"/>
  <c r="F288" i="4"/>
  <c r="F10" i="4" s="1"/>
  <c r="F44" i="4"/>
  <c r="F216" i="4"/>
  <c r="F351" i="4"/>
  <c r="F16" i="4" s="1"/>
  <c r="F379" i="4"/>
  <c r="F430" i="4" s="1"/>
  <c r="F316" i="4"/>
  <c r="F428" i="4" s="1"/>
  <c r="F429" i="4"/>
  <c r="F456" i="4"/>
  <c r="F25" i="4" s="1"/>
  <c r="F191" i="4"/>
  <c r="F11" i="4"/>
  <c r="F431" i="4"/>
  <c r="F432" i="4"/>
  <c r="F21" i="4"/>
  <c r="F12" i="4" l="1"/>
  <c r="F290" i="4"/>
  <c r="F325" i="4"/>
  <c r="F15" i="4" s="1"/>
  <c r="F17" i="4"/>
  <c r="F43" i="4"/>
  <c r="F45" i="4" s="1"/>
  <c r="F193" i="4"/>
  <c r="F248" i="4" s="1"/>
  <c r="F433" i="4"/>
  <c r="F434" i="4" s="1"/>
  <c r="F49" i="4" s="1"/>
  <c r="F425" i="4" l="1"/>
  <c r="F23" i="4"/>
  <c r="F53" i="4"/>
  <c r="U24" i="13" l="1"/>
  <c r="S24" i="13"/>
  <c r="Q24" i="13"/>
  <c r="O24" i="13"/>
  <c r="M24" i="13"/>
  <c r="K24" i="13"/>
  <c r="AG492" i="4" l="1"/>
  <c r="AG29" i="4" s="1"/>
  <c r="AG463" i="4"/>
  <c r="AG475" i="4" s="1"/>
  <c r="AG26" i="4" s="1"/>
  <c r="AG454" i="4"/>
  <c r="AG450" i="4"/>
  <c r="AG442" i="4"/>
  <c r="AG419" i="4"/>
  <c r="AG423" i="4" s="1"/>
  <c r="AG402" i="4"/>
  <c r="AG19" i="4" s="1"/>
  <c r="AG395" i="4"/>
  <c r="AG20" i="4" s="1"/>
  <c r="AG388" i="4"/>
  <c r="AG377" i="4"/>
  <c r="AG364" i="4"/>
  <c r="AG349" i="4"/>
  <c r="AG339" i="4"/>
  <c r="AG323" i="4"/>
  <c r="AG314" i="4"/>
  <c r="AG307" i="4"/>
  <c r="AG286" i="4"/>
  <c r="AG274" i="4"/>
  <c r="AG259" i="4"/>
  <c r="AG11" i="4" s="1"/>
  <c r="AG246" i="4"/>
  <c r="AG236" i="4"/>
  <c r="AG231" i="4"/>
  <c r="AG223" i="4"/>
  <c r="AG46" i="4" s="1"/>
  <c r="AG214" i="4"/>
  <c r="AG210" i="4"/>
  <c r="AG206" i="4"/>
  <c r="AG202" i="4"/>
  <c r="AG198" i="4"/>
  <c r="AG189" i="4"/>
  <c r="AG186" i="4"/>
  <c r="AG178" i="4"/>
  <c r="AG169" i="4"/>
  <c r="AG165" i="4"/>
  <c r="AG157" i="4"/>
  <c r="AG142" i="4"/>
  <c r="AG124" i="4"/>
  <c r="AG104" i="4"/>
  <c r="AG94" i="4"/>
  <c r="AG83" i="4"/>
  <c r="AG74" i="4"/>
  <c r="AG62" i="4"/>
  <c r="AG52" i="4"/>
  <c r="AG51" i="4"/>
  <c r="AG50" i="4"/>
  <c r="AG48" i="4"/>
  <c r="AG47" i="4"/>
  <c r="AG40" i="4"/>
  <c r="AG36" i="4"/>
  <c r="AG35" i="4"/>
  <c r="AG34" i="4"/>
  <c r="AG28" i="4"/>
  <c r="AG9" i="4"/>
  <c r="AG8" i="4"/>
  <c r="AG7" i="4"/>
  <c r="G492" i="4"/>
  <c r="G29" i="4" s="1"/>
  <c r="G463" i="4"/>
  <c r="G475" i="4" s="1"/>
  <c r="G26" i="4" s="1"/>
  <c r="G454" i="4"/>
  <c r="G450" i="4"/>
  <c r="G442" i="4"/>
  <c r="G419" i="4"/>
  <c r="G423" i="4" s="1"/>
  <c r="G402" i="4"/>
  <c r="G19" i="4" s="1"/>
  <c r="G395" i="4"/>
  <c r="G20" i="4" s="1"/>
  <c r="G388" i="4"/>
  <c r="G18" i="4" s="1"/>
  <c r="G377" i="4"/>
  <c r="G364" i="4"/>
  <c r="G349" i="4"/>
  <c r="G339" i="4"/>
  <c r="G323" i="4"/>
  <c r="G314" i="4"/>
  <c r="G307" i="4"/>
  <c r="G286" i="4"/>
  <c r="G274" i="4"/>
  <c r="G259" i="4"/>
  <c r="G246" i="4"/>
  <c r="G236" i="4"/>
  <c r="G231" i="4"/>
  <c r="G223" i="4"/>
  <c r="G214" i="4"/>
  <c r="G210" i="4"/>
  <c r="G206" i="4"/>
  <c r="G202" i="4"/>
  <c r="G198" i="4"/>
  <c r="G189" i="4"/>
  <c r="G186" i="4"/>
  <c r="G178" i="4"/>
  <c r="G169" i="4"/>
  <c r="G165" i="4"/>
  <c r="G157" i="4"/>
  <c r="G142" i="4"/>
  <c r="G124" i="4"/>
  <c r="G104" i="4"/>
  <c r="G106" i="4" s="1"/>
  <c r="G94" i="4"/>
  <c r="G83" i="4"/>
  <c r="G74" i="4"/>
  <c r="G62" i="4"/>
  <c r="G52" i="4"/>
  <c r="G51" i="4"/>
  <c r="G50" i="4"/>
  <c r="G48" i="4"/>
  <c r="G47" i="4"/>
  <c r="G46" i="4"/>
  <c r="G40" i="4"/>
  <c r="G36" i="4"/>
  <c r="G35" i="4"/>
  <c r="G28" i="4"/>
  <c r="G9" i="4"/>
  <c r="G8" i="4"/>
  <c r="AC498" i="4"/>
  <c r="AC34" i="4" s="1"/>
  <c r="AC492" i="4"/>
  <c r="AC29" i="4" s="1"/>
  <c r="AC463" i="4"/>
  <c r="AC475" i="4" s="1"/>
  <c r="AC26" i="4" s="1"/>
  <c r="AC454" i="4"/>
  <c r="AC450" i="4"/>
  <c r="AC442" i="4"/>
  <c r="AC419" i="4"/>
  <c r="AC423" i="4" s="1"/>
  <c r="AC402" i="4"/>
  <c r="AC19" i="4" s="1"/>
  <c r="AC395" i="4"/>
  <c r="AC20" i="4" s="1"/>
  <c r="AC388" i="4"/>
  <c r="AC18" i="4" s="1"/>
  <c r="AC377" i="4"/>
  <c r="AC364" i="4"/>
  <c r="AC349" i="4"/>
  <c r="AC339" i="4"/>
  <c r="AC323" i="4"/>
  <c r="AC314" i="4"/>
  <c r="AC307" i="4"/>
  <c r="AC286" i="4"/>
  <c r="AC274" i="4"/>
  <c r="AC259" i="4"/>
  <c r="AC11" i="4" s="1"/>
  <c r="AC246" i="4"/>
  <c r="AC236" i="4"/>
  <c r="AC231" i="4"/>
  <c r="AC223" i="4"/>
  <c r="AC46" i="4" s="1"/>
  <c r="AC214" i="4"/>
  <c r="AC210" i="4"/>
  <c r="AC206" i="4"/>
  <c r="AC202" i="4"/>
  <c r="AC198" i="4"/>
  <c r="AC189" i="4"/>
  <c r="AC186" i="4"/>
  <c r="AC178" i="4"/>
  <c r="AC169" i="4"/>
  <c r="AC165" i="4"/>
  <c r="AC157" i="4"/>
  <c r="AC142" i="4"/>
  <c r="AC124" i="4"/>
  <c r="AC104" i="4"/>
  <c r="AC94" i="4"/>
  <c r="AC83" i="4"/>
  <c r="AC74" i="4"/>
  <c r="AC62" i="4"/>
  <c r="AC52" i="4"/>
  <c r="AC51" i="4"/>
  <c r="AC50" i="4"/>
  <c r="AC48" i="4"/>
  <c r="AC47" i="4"/>
  <c r="AC40" i="4"/>
  <c r="AC36" i="4"/>
  <c r="AC35" i="4"/>
  <c r="AC28" i="4"/>
  <c r="AC9" i="4"/>
  <c r="AC8" i="4"/>
  <c r="AC7" i="4"/>
  <c r="L498" i="4"/>
  <c r="L34" i="4" s="1"/>
  <c r="L492" i="4"/>
  <c r="L29" i="4" s="1"/>
  <c r="L463" i="4"/>
  <c r="L475" i="4" s="1"/>
  <c r="L26" i="4" s="1"/>
  <c r="L454" i="4"/>
  <c r="L450" i="4"/>
  <c r="L442" i="4"/>
  <c r="L419" i="4"/>
  <c r="L423" i="4" s="1"/>
  <c r="L402" i="4"/>
  <c r="L19" i="4" s="1"/>
  <c r="L395" i="4"/>
  <c r="L20" i="4" s="1"/>
  <c r="L388" i="4"/>
  <c r="L18" i="4" s="1"/>
  <c r="L377" i="4"/>
  <c r="L364" i="4"/>
  <c r="L349" i="4"/>
  <c r="L339" i="4"/>
  <c r="L323" i="4"/>
  <c r="L314" i="4"/>
  <c r="L307" i="4"/>
  <c r="L286" i="4"/>
  <c r="L274" i="4"/>
  <c r="L259" i="4"/>
  <c r="L11" i="4" s="1"/>
  <c r="L246" i="4"/>
  <c r="L236" i="4"/>
  <c r="L231" i="4"/>
  <c r="L223" i="4"/>
  <c r="L46" i="4" s="1"/>
  <c r="L214" i="4"/>
  <c r="L210" i="4"/>
  <c r="L206" i="4"/>
  <c r="L202" i="4"/>
  <c r="L198" i="4"/>
  <c r="L189" i="4"/>
  <c r="L186" i="4"/>
  <c r="L178" i="4"/>
  <c r="L169" i="4"/>
  <c r="L165" i="4"/>
  <c r="L157" i="4"/>
  <c r="L142" i="4"/>
  <c r="L124" i="4"/>
  <c r="L104" i="4"/>
  <c r="L106" i="4" s="1"/>
  <c r="L94" i="4"/>
  <c r="L83" i="4"/>
  <c r="L74" i="4"/>
  <c r="L62" i="4"/>
  <c r="L52" i="4"/>
  <c r="L51" i="4"/>
  <c r="L50" i="4"/>
  <c r="L48" i="4"/>
  <c r="L47" i="4"/>
  <c r="L40" i="4"/>
  <c r="L36" i="4"/>
  <c r="L35" i="4"/>
  <c r="L28" i="4"/>
  <c r="L9" i="4"/>
  <c r="L8" i="4"/>
  <c r="L7" i="4"/>
  <c r="K498" i="4"/>
  <c r="K34" i="4" s="1"/>
  <c r="K492" i="4"/>
  <c r="K29" i="4" s="1"/>
  <c r="K463" i="4"/>
  <c r="K475" i="4" s="1"/>
  <c r="K26" i="4" s="1"/>
  <c r="K454" i="4"/>
  <c r="K450" i="4"/>
  <c r="K442" i="4"/>
  <c r="K419" i="4"/>
  <c r="K423" i="4" s="1"/>
  <c r="K402" i="4"/>
  <c r="K19" i="4" s="1"/>
  <c r="K395" i="4"/>
  <c r="K20" i="4" s="1"/>
  <c r="K388" i="4"/>
  <c r="K18" i="4" s="1"/>
  <c r="K377" i="4"/>
  <c r="K364" i="4"/>
  <c r="K349" i="4"/>
  <c r="K339" i="4"/>
  <c r="K323" i="4"/>
  <c r="K314" i="4"/>
  <c r="K307" i="4"/>
  <c r="K286" i="4"/>
  <c r="K274" i="4"/>
  <c r="K259" i="4"/>
  <c r="K11" i="4" s="1"/>
  <c r="K246" i="4"/>
  <c r="K236" i="4"/>
  <c r="K231" i="4"/>
  <c r="K223" i="4"/>
  <c r="K46" i="4" s="1"/>
  <c r="K214" i="4"/>
  <c r="K210" i="4"/>
  <c r="K206" i="4"/>
  <c r="K202" i="4"/>
  <c r="K198" i="4"/>
  <c r="K189" i="4"/>
  <c r="K186" i="4"/>
  <c r="K178" i="4"/>
  <c r="K169" i="4"/>
  <c r="K165" i="4"/>
  <c r="K157" i="4"/>
  <c r="K142" i="4"/>
  <c r="K124" i="4"/>
  <c r="K104" i="4"/>
  <c r="K94" i="4"/>
  <c r="K83" i="4"/>
  <c r="K74" i="4"/>
  <c r="K62" i="4"/>
  <c r="K52" i="4"/>
  <c r="K51" i="4"/>
  <c r="K50" i="4"/>
  <c r="K48" i="4"/>
  <c r="K47" i="4"/>
  <c r="K40" i="4"/>
  <c r="K36" i="4"/>
  <c r="K35" i="4"/>
  <c r="K28" i="4"/>
  <c r="K9" i="4"/>
  <c r="K8" i="4"/>
  <c r="K7" i="4"/>
  <c r="AD498" i="4"/>
  <c r="AD34" i="4" s="1"/>
  <c r="AD492" i="4"/>
  <c r="AD29" i="4" s="1"/>
  <c r="AD463" i="4"/>
  <c r="AD475" i="4" s="1"/>
  <c r="AD26" i="4" s="1"/>
  <c r="AD454" i="4"/>
  <c r="AD450" i="4"/>
  <c r="AD442" i="4"/>
  <c r="AD419" i="4"/>
  <c r="AD423" i="4" s="1"/>
  <c r="AD402" i="4"/>
  <c r="AD19" i="4" s="1"/>
  <c r="AD395" i="4"/>
  <c r="AD20" i="4" s="1"/>
  <c r="AD388" i="4"/>
  <c r="AD18" i="4" s="1"/>
  <c r="AD377" i="4"/>
  <c r="AD364" i="4"/>
  <c r="AD349" i="4"/>
  <c r="AD339" i="4"/>
  <c r="AD323" i="4"/>
  <c r="AD314" i="4"/>
  <c r="AD307" i="4"/>
  <c r="AD286" i="4"/>
  <c r="AD274" i="4"/>
  <c r="AD259" i="4"/>
  <c r="AD11" i="4" s="1"/>
  <c r="AD246" i="4"/>
  <c r="AD236" i="4"/>
  <c r="AD231" i="4"/>
  <c r="AD223" i="4"/>
  <c r="AD46" i="4" s="1"/>
  <c r="AD214" i="4"/>
  <c r="AD210" i="4"/>
  <c r="AD206" i="4"/>
  <c r="AD202" i="4"/>
  <c r="AD198" i="4"/>
  <c r="AD189" i="4"/>
  <c r="AD186" i="4"/>
  <c r="AD178" i="4"/>
  <c r="AD169" i="4"/>
  <c r="AD165" i="4"/>
  <c r="AD157" i="4"/>
  <c r="AD142" i="4"/>
  <c r="AD124" i="4"/>
  <c r="AD104" i="4"/>
  <c r="AD106" i="4" s="1"/>
  <c r="AD94" i="4"/>
  <c r="AD83" i="4"/>
  <c r="AD74" i="4"/>
  <c r="AD62" i="4"/>
  <c r="AD52" i="4"/>
  <c r="AD51" i="4"/>
  <c r="AD50" i="4"/>
  <c r="AD48" i="4"/>
  <c r="AD47" i="4"/>
  <c r="AD40" i="4"/>
  <c r="AD36" i="4"/>
  <c r="AD35" i="4"/>
  <c r="AD28" i="4"/>
  <c r="AD9" i="4"/>
  <c r="AD8" i="4"/>
  <c r="AD7" i="4"/>
  <c r="AD171" i="4" l="1"/>
  <c r="L171" i="4"/>
  <c r="G171" i="4"/>
  <c r="AG171" i="4"/>
  <c r="K106" i="4"/>
  <c r="K171" i="4" s="1"/>
  <c r="AC106" i="4"/>
  <c r="AC171" i="4" s="1"/>
  <c r="AG106" i="4"/>
  <c r="G351" i="4"/>
  <c r="G16" i="4" s="1"/>
  <c r="AG288" i="4"/>
  <c r="AG10" i="4" s="1"/>
  <c r="AG12" i="4" s="1"/>
  <c r="K429" i="4"/>
  <c r="G288" i="4"/>
  <c r="G10" i="4" s="1"/>
  <c r="AG316" i="4"/>
  <c r="AG428" i="4" s="1"/>
  <c r="AG379" i="4"/>
  <c r="AG17" i="4" s="1"/>
  <c r="AC44" i="4"/>
  <c r="AC429" i="4"/>
  <c r="AC456" i="4"/>
  <c r="AC25" i="4" s="1"/>
  <c r="AD379" i="4"/>
  <c r="AD17" i="4" s="1"/>
  <c r="G379" i="4"/>
  <c r="G17" i="4" s="1"/>
  <c r="AG351" i="4"/>
  <c r="AG16" i="4" s="1"/>
  <c r="AG431" i="4"/>
  <c r="AG432" i="4"/>
  <c r="AG21" i="4"/>
  <c r="G11" i="4"/>
  <c r="K316" i="4"/>
  <c r="K428" i="4" s="1"/>
  <c r="AC316" i="4"/>
  <c r="AC325" i="4" s="1"/>
  <c r="AC15" i="4" s="1"/>
  <c r="AC379" i="4"/>
  <c r="AC430" i="4" s="1"/>
  <c r="G456" i="4"/>
  <c r="G25" i="4" s="1"/>
  <c r="AG44" i="4"/>
  <c r="AG216" i="4"/>
  <c r="AC216" i="4"/>
  <c r="AC191" i="4"/>
  <c r="AC288" i="4"/>
  <c r="AC10" i="4" s="1"/>
  <c r="AC12" i="4" s="1"/>
  <c r="G191" i="4"/>
  <c r="G216" i="4"/>
  <c r="G316" i="4"/>
  <c r="G428" i="4" s="1"/>
  <c r="G429" i="4"/>
  <c r="G431" i="4"/>
  <c r="AG191" i="4"/>
  <c r="AG429" i="4"/>
  <c r="AG456" i="4"/>
  <c r="AG25" i="4" s="1"/>
  <c r="AD316" i="4"/>
  <c r="AD428" i="4" s="1"/>
  <c r="AG18" i="4"/>
  <c r="K44" i="4"/>
  <c r="K379" i="4"/>
  <c r="K430" i="4" s="1"/>
  <c r="L288" i="4"/>
  <c r="L10" i="4" s="1"/>
  <c r="L12" i="4" s="1"/>
  <c r="G44" i="4"/>
  <c r="G21" i="4"/>
  <c r="G432" i="4"/>
  <c r="AD191" i="4"/>
  <c r="L44" i="4"/>
  <c r="L316" i="4"/>
  <c r="L428" i="4" s="1"/>
  <c r="L379" i="4"/>
  <c r="L430" i="4" s="1"/>
  <c r="K288" i="4"/>
  <c r="K10" i="4" s="1"/>
  <c r="K12" i="4" s="1"/>
  <c r="L429" i="4"/>
  <c r="AC432" i="4"/>
  <c r="AC21" i="4"/>
  <c r="AC431" i="4"/>
  <c r="AD216" i="4"/>
  <c r="K216" i="4"/>
  <c r="L216" i="4"/>
  <c r="AC351" i="4"/>
  <c r="AC16" i="4" s="1"/>
  <c r="K191" i="4"/>
  <c r="L191" i="4"/>
  <c r="AD44" i="4"/>
  <c r="AD288" i="4"/>
  <c r="AD10" i="4" s="1"/>
  <c r="AD12" i="4" s="1"/>
  <c r="AD456" i="4"/>
  <c r="AD25" i="4" s="1"/>
  <c r="K456" i="4"/>
  <c r="K25" i="4" s="1"/>
  <c r="L456" i="4"/>
  <c r="L25" i="4" s="1"/>
  <c r="L432" i="4"/>
  <c r="L21" i="4"/>
  <c r="L351" i="4"/>
  <c r="L16" i="4" s="1"/>
  <c r="L431" i="4"/>
  <c r="K21" i="4"/>
  <c r="K432" i="4"/>
  <c r="K431" i="4"/>
  <c r="K351" i="4"/>
  <c r="K16" i="4" s="1"/>
  <c r="AD21" i="4"/>
  <c r="AD432" i="4"/>
  <c r="AD429" i="4"/>
  <c r="AD351" i="4"/>
  <c r="AD16" i="4" s="1"/>
  <c r="AD431" i="4"/>
  <c r="AG290" i="4" l="1"/>
  <c r="AG325" i="4"/>
  <c r="AG15" i="4" s="1"/>
  <c r="AG23" i="4" s="1"/>
  <c r="G290" i="4"/>
  <c r="G12" i="4"/>
  <c r="G430" i="4"/>
  <c r="G433" i="4" s="1"/>
  <c r="G434" i="4" s="1"/>
  <c r="G49" i="4" s="1"/>
  <c r="K325" i="4"/>
  <c r="K15" i="4" s="1"/>
  <c r="AG430" i="4"/>
  <c r="AG433" i="4" s="1"/>
  <c r="AG434" i="4" s="1"/>
  <c r="AG49" i="4" s="1"/>
  <c r="AC290" i="4"/>
  <c r="AD325" i="4"/>
  <c r="AD15" i="4" s="1"/>
  <c r="AD23" i="4" s="1"/>
  <c r="G325" i="4"/>
  <c r="AG425" i="4"/>
  <c r="AD430" i="4"/>
  <c r="AD433" i="4" s="1"/>
  <c r="AD434" i="4" s="1"/>
  <c r="AD49" i="4" s="1"/>
  <c r="AC17" i="4"/>
  <c r="AC23" i="4" s="1"/>
  <c r="G193" i="4"/>
  <c r="G248" i="4" s="1"/>
  <c r="G43" i="4"/>
  <c r="G45" i="4" s="1"/>
  <c r="AD290" i="4"/>
  <c r="L290" i="4"/>
  <c r="AC428" i="4"/>
  <c r="AC433" i="4" s="1"/>
  <c r="AC434" i="4" s="1"/>
  <c r="AC49" i="4" s="1"/>
  <c r="L325" i="4"/>
  <c r="L15" i="4" s="1"/>
  <c r="K17" i="4"/>
  <c r="AG193" i="4"/>
  <c r="AG248" i="4" s="1"/>
  <c r="AG43" i="4"/>
  <c r="AG45" i="4" s="1"/>
  <c r="AD43" i="4"/>
  <c r="AD45" i="4" s="1"/>
  <c r="AD193" i="4"/>
  <c r="AD248" i="4" s="1"/>
  <c r="K290" i="4"/>
  <c r="L17" i="4"/>
  <c r="L433" i="4"/>
  <c r="L434" i="4" s="1"/>
  <c r="L49" i="4" s="1"/>
  <c r="AC193" i="4"/>
  <c r="AC248" i="4" s="1"/>
  <c r="AC43" i="4"/>
  <c r="AC45" i="4" s="1"/>
  <c r="AC425" i="4"/>
  <c r="L193" i="4"/>
  <c r="L248" i="4" s="1"/>
  <c r="L43" i="4"/>
  <c r="L45" i="4" s="1"/>
  <c r="K433" i="4"/>
  <c r="K434" i="4" s="1"/>
  <c r="K49" i="4" s="1"/>
  <c r="K193" i="4"/>
  <c r="K248" i="4" s="1"/>
  <c r="K43" i="4"/>
  <c r="K45" i="4" s="1"/>
  <c r="AG53" i="4" l="1"/>
  <c r="K425" i="4"/>
  <c r="K23" i="4"/>
  <c r="AD425" i="4"/>
  <c r="G53" i="4"/>
  <c r="G15" i="4"/>
  <c r="G23" i="4" s="1"/>
  <c r="G425" i="4"/>
  <c r="AD53" i="4"/>
  <c r="AC53" i="4"/>
  <c r="L425" i="4"/>
  <c r="L23" i="4"/>
  <c r="L53" i="4"/>
  <c r="K53" i="4"/>
  <c r="G34" i="4" l="1"/>
  <c r="AF339" i="4"/>
  <c r="AF498" i="4"/>
  <c r="AF34" i="4" s="1"/>
  <c r="AF492" i="4"/>
  <c r="AF29" i="4" s="1"/>
  <c r="AF463" i="4"/>
  <c r="AF475" i="4" s="1"/>
  <c r="AF26" i="4" s="1"/>
  <c r="AF454" i="4"/>
  <c r="AF450" i="4"/>
  <c r="AF442" i="4"/>
  <c r="AF419" i="4"/>
  <c r="AF423" i="4" s="1"/>
  <c r="AF402" i="4"/>
  <c r="AF19" i="4" s="1"/>
  <c r="AF395" i="4"/>
  <c r="AF388" i="4"/>
  <c r="AF18" i="4" s="1"/>
  <c r="AF377" i="4"/>
  <c r="AF364" i="4"/>
  <c r="AF349" i="4"/>
  <c r="AF323" i="4"/>
  <c r="AF314" i="4"/>
  <c r="AF307" i="4"/>
  <c r="AF286" i="4"/>
  <c r="AF274" i="4"/>
  <c r="AF259" i="4"/>
  <c r="AF11" i="4" s="1"/>
  <c r="AF246" i="4"/>
  <c r="AF236" i="4"/>
  <c r="AF231" i="4"/>
  <c r="AF223" i="4"/>
  <c r="AF214" i="4"/>
  <c r="AF210" i="4"/>
  <c r="AF206" i="4"/>
  <c r="AF202" i="4"/>
  <c r="AF198" i="4"/>
  <c r="AF189" i="4"/>
  <c r="AF186" i="4"/>
  <c r="AF178" i="4"/>
  <c r="AF169" i="4"/>
  <c r="AF165" i="4"/>
  <c r="AF157" i="4"/>
  <c r="AF142" i="4"/>
  <c r="AF124" i="4"/>
  <c r="AF104" i="4"/>
  <c r="AF94" i="4"/>
  <c r="AF83" i="4"/>
  <c r="AF74" i="4"/>
  <c r="AF62" i="4"/>
  <c r="AF52" i="4"/>
  <c r="AF51" i="4"/>
  <c r="AF50" i="4"/>
  <c r="AF48" i="4"/>
  <c r="AF47" i="4"/>
  <c r="AF46" i="4"/>
  <c r="AF40" i="4"/>
  <c r="AF36" i="4"/>
  <c r="AF35" i="4"/>
  <c r="AF28" i="4"/>
  <c r="AF9" i="4"/>
  <c r="AF8" i="4"/>
  <c r="AF7" i="4"/>
  <c r="AF106" i="4" l="1"/>
  <c r="AF171" i="4" s="1"/>
  <c r="AF288" i="4"/>
  <c r="AF290" i="4" s="1"/>
  <c r="AF44" i="4"/>
  <c r="AF216" i="4"/>
  <c r="AF431" i="4"/>
  <c r="AF379" i="4"/>
  <c r="AF430" i="4" s="1"/>
  <c r="AF191" i="4"/>
  <c r="AF316" i="4"/>
  <c r="AF428" i="4" s="1"/>
  <c r="AF20" i="4"/>
  <c r="AF456" i="4"/>
  <c r="AF25" i="4" s="1"/>
  <c r="AF432" i="4"/>
  <c r="AF21" i="4"/>
  <c r="AF429" i="4"/>
  <c r="AF351" i="4"/>
  <c r="AF16" i="4" s="1"/>
  <c r="AF17" i="4" l="1"/>
  <c r="AF10" i="4"/>
  <c r="AF12" i="4" s="1"/>
  <c r="AF433" i="4"/>
  <c r="AF434" i="4" s="1"/>
  <c r="AF49" i="4" s="1"/>
  <c r="AF193" i="4"/>
  <c r="AF248" i="4" s="1"/>
  <c r="AF43" i="4"/>
  <c r="AF45" i="4" s="1"/>
  <c r="AF325" i="4"/>
  <c r="AF15" i="4" s="1"/>
  <c r="AF23" i="4" l="1"/>
  <c r="AF425" i="4"/>
  <c r="AF53" i="4"/>
  <c r="C465" i="4"/>
  <c r="AJ498" i="4"/>
  <c r="AJ34" i="4" s="1"/>
  <c r="AJ492" i="4"/>
  <c r="AJ29" i="4" s="1"/>
  <c r="AJ463" i="4"/>
  <c r="AJ475" i="4" s="1"/>
  <c r="AJ26" i="4" s="1"/>
  <c r="AJ454" i="4"/>
  <c r="AJ450" i="4"/>
  <c r="AJ442" i="4"/>
  <c r="AJ419" i="4"/>
  <c r="AJ423" i="4" s="1"/>
  <c r="AJ402" i="4"/>
  <c r="AJ19" i="4" s="1"/>
  <c r="AJ395" i="4"/>
  <c r="AJ20" i="4" s="1"/>
  <c r="AJ388" i="4"/>
  <c r="AJ18" i="4" s="1"/>
  <c r="AJ377" i="4"/>
  <c r="AJ364" i="4"/>
  <c r="AJ349" i="4"/>
  <c r="AJ339" i="4"/>
  <c r="AJ323" i="4"/>
  <c r="AJ314" i="4"/>
  <c r="AJ307" i="4"/>
  <c r="AJ286" i="4"/>
  <c r="AJ274" i="4"/>
  <c r="AJ259" i="4"/>
  <c r="AJ11" i="4" s="1"/>
  <c r="AJ246" i="4"/>
  <c r="AJ236" i="4"/>
  <c r="AJ231" i="4"/>
  <c r="AJ223" i="4"/>
  <c r="AJ46" i="4" s="1"/>
  <c r="AJ214" i="4"/>
  <c r="AJ210" i="4"/>
  <c r="AJ206" i="4"/>
  <c r="AJ202" i="4"/>
  <c r="AJ198" i="4"/>
  <c r="AJ189" i="4"/>
  <c r="AJ186" i="4"/>
  <c r="AJ178" i="4"/>
  <c r="AJ169" i="4"/>
  <c r="AJ165" i="4"/>
  <c r="AJ157" i="4"/>
  <c r="AJ142" i="4"/>
  <c r="AJ124" i="4"/>
  <c r="AJ104" i="4"/>
  <c r="AJ94" i="4"/>
  <c r="AJ83" i="4"/>
  <c r="AJ74" i="4"/>
  <c r="AJ62" i="4"/>
  <c r="AJ52" i="4"/>
  <c r="AJ51" i="4"/>
  <c r="AJ50" i="4"/>
  <c r="AJ48" i="4"/>
  <c r="AJ47" i="4"/>
  <c r="AJ40" i="4"/>
  <c r="AJ36" i="4"/>
  <c r="AJ35" i="4"/>
  <c r="AJ28" i="4"/>
  <c r="AJ9" i="4"/>
  <c r="AJ8" i="4"/>
  <c r="AJ7" i="4"/>
  <c r="AJ106" i="4" l="1"/>
  <c r="AJ171" i="4" s="1"/>
  <c r="AJ44" i="4"/>
  <c r="AJ379" i="4"/>
  <c r="AJ17" i="4" s="1"/>
  <c r="AJ216" i="4"/>
  <c r="AJ288" i="4"/>
  <c r="AJ10" i="4" s="1"/>
  <c r="AJ12" i="4" s="1"/>
  <c r="AJ351" i="4"/>
  <c r="AJ16" i="4" s="1"/>
  <c r="AJ456" i="4"/>
  <c r="AJ25" i="4" s="1"/>
  <c r="AJ191" i="4"/>
  <c r="AJ316" i="4"/>
  <c r="AJ325" i="4" s="1"/>
  <c r="AJ15" i="4" s="1"/>
  <c r="AJ432" i="4"/>
  <c r="AJ21" i="4"/>
  <c r="AJ431" i="4"/>
  <c r="AJ429" i="4"/>
  <c r="AJ430" i="4" l="1"/>
  <c r="AJ290" i="4"/>
  <c r="AJ428" i="4"/>
  <c r="AJ433" i="4" s="1"/>
  <c r="AJ434" i="4" s="1"/>
  <c r="AJ49" i="4" s="1"/>
  <c r="AJ23" i="4"/>
  <c r="AJ193" i="4"/>
  <c r="AJ248" i="4" s="1"/>
  <c r="AJ43" i="4"/>
  <c r="AJ45" i="4" s="1"/>
  <c r="AJ425" i="4"/>
  <c r="AO492" i="4"/>
  <c r="AP498" i="4"/>
  <c r="AJ53" i="4" l="1"/>
  <c r="C503" i="4" l="1"/>
  <c r="C251" i="4" l="1"/>
  <c r="E498" i="4"/>
  <c r="E34" i="4" s="1"/>
  <c r="E492" i="4"/>
  <c r="E29" i="4" s="1"/>
  <c r="E463" i="4"/>
  <c r="E475" i="4" s="1"/>
  <c r="E26" i="4" s="1"/>
  <c r="E454" i="4"/>
  <c r="E450" i="4"/>
  <c r="E442" i="4"/>
  <c r="E419" i="4"/>
  <c r="E423" i="4" s="1"/>
  <c r="E402" i="4"/>
  <c r="E19" i="4" s="1"/>
  <c r="E395" i="4"/>
  <c r="E20" i="4" s="1"/>
  <c r="E388" i="4"/>
  <c r="E377" i="4"/>
  <c r="E364" i="4"/>
  <c r="E349" i="4"/>
  <c r="E339" i="4"/>
  <c r="E323" i="4"/>
  <c r="E314" i="4"/>
  <c r="E307" i="4"/>
  <c r="E286" i="4"/>
  <c r="E274" i="4"/>
  <c r="E259" i="4"/>
  <c r="E11" i="4" s="1"/>
  <c r="E246" i="4"/>
  <c r="E236" i="4"/>
  <c r="E231" i="4"/>
  <c r="E223" i="4"/>
  <c r="E46" i="4" s="1"/>
  <c r="E214" i="4"/>
  <c r="E210" i="4"/>
  <c r="E206" i="4"/>
  <c r="E202" i="4"/>
  <c r="E198" i="4"/>
  <c r="E189" i="4"/>
  <c r="E186" i="4"/>
  <c r="E178" i="4"/>
  <c r="E169" i="4"/>
  <c r="E165" i="4"/>
  <c r="E157" i="4"/>
  <c r="E142" i="4"/>
  <c r="E124" i="4"/>
  <c r="E104" i="4"/>
  <c r="E94" i="4"/>
  <c r="E83" i="4"/>
  <c r="E74" i="4"/>
  <c r="E62" i="4"/>
  <c r="E7" i="4"/>
  <c r="E8" i="4"/>
  <c r="E9" i="4"/>
  <c r="E28" i="4"/>
  <c r="E35" i="4"/>
  <c r="E36" i="4"/>
  <c r="E40" i="4"/>
  <c r="E47" i="4"/>
  <c r="E48" i="4"/>
  <c r="E50" i="4"/>
  <c r="E51" i="4"/>
  <c r="E52" i="4"/>
  <c r="E106" i="4" l="1"/>
  <c r="E171" i="4" s="1"/>
  <c r="E191" i="4"/>
  <c r="E429" i="4"/>
  <c r="E379" i="4"/>
  <c r="E430" i="4" s="1"/>
  <c r="E431" i="4"/>
  <c r="E316" i="4"/>
  <c r="E428" i="4" s="1"/>
  <c r="E21" i="4"/>
  <c r="E432" i="4"/>
  <c r="E18" i="4"/>
  <c r="E44" i="4"/>
  <c r="E216" i="4"/>
  <c r="E288" i="4"/>
  <c r="E10" i="4" s="1"/>
  <c r="E12" i="4" s="1"/>
  <c r="E456" i="4"/>
  <c r="E25" i="4" s="1"/>
  <c r="E351" i="4"/>
  <c r="E16" i="4" s="1"/>
  <c r="E17" i="4" l="1"/>
  <c r="E433" i="4"/>
  <c r="E434" i="4" s="1"/>
  <c r="E49" i="4" s="1"/>
  <c r="E193" i="4"/>
  <c r="E248" i="4" s="1"/>
  <c r="E43" i="4"/>
  <c r="E45" i="4" s="1"/>
  <c r="E290" i="4"/>
  <c r="E325" i="4"/>
  <c r="E15" i="4" s="1"/>
  <c r="E23" i="4" l="1"/>
  <c r="E53" i="4"/>
  <c r="E425" i="4"/>
  <c r="D501" i="1" l="1"/>
  <c r="E501" i="1" s="1"/>
  <c r="C52" i="1" l="1"/>
  <c r="C327" i="1" l="1"/>
  <c r="E415" i="1" l="1"/>
  <c r="E414" i="1"/>
  <c r="D414" i="1" s="1"/>
  <c r="E413" i="1"/>
  <c r="E412" i="1"/>
  <c r="E406" i="1" l="1"/>
  <c r="P22" i="18" l="1"/>
  <c r="E18" i="18"/>
  <c r="Q16" i="18"/>
  <c r="Q22" i="18" l="1"/>
  <c r="Q23" i="18" s="1"/>
  <c r="E24" i="18"/>
  <c r="C37" i="5" l="1"/>
  <c r="C39" i="5"/>
  <c r="C40" i="5"/>
  <c r="C38" i="5"/>
  <c r="C36" i="5"/>
  <c r="C41" i="5" l="1"/>
  <c r="M30" i="19"/>
  <c r="F26" i="19" l="1"/>
  <c r="D232" i="1" l="1"/>
  <c r="F33" i="19" l="1"/>
  <c r="C10" i="5" l="1"/>
  <c r="C320" i="1"/>
  <c r="C329" i="1" s="1"/>
  <c r="BF307" i="4"/>
  <c r="P307" i="4"/>
  <c r="H307" i="4"/>
  <c r="R307" i="4"/>
  <c r="D307" i="4"/>
  <c r="C296" i="4"/>
  <c r="F309" i="1" s="1"/>
  <c r="B26" i="6" l="1"/>
  <c r="D296" i="1"/>
  <c r="E294" i="1"/>
  <c r="E293" i="1"/>
  <c r="E291" i="1"/>
  <c r="D266" i="1"/>
  <c r="E266" i="1" s="1"/>
  <c r="L35" i="14" l="1"/>
  <c r="J35" i="14"/>
  <c r="H35" i="14"/>
  <c r="O35" i="14"/>
  <c r="Q34" i="14"/>
  <c r="Q35" i="14" s="1"/>
  <c r="M25" i="14"/>
  <c r="C15" i="5" l="1"/>
  <c r="D406" i="1" l="1"/>
  <c r="E264" i="1" l="1"/>
  <c r="D264" i="1" s="1"/>
  <c r="F24" i="6" l="1"/>
  <c r="C287" i="1" l="1"/>
  <c r="C299" i="1" l="1"/>
  <c r="C272" i="1" l="1"/>
  <c r="E347" i="1"/>
  <c r="C518" i="1"/>
  <c r="E498" i="1" l="1"/>
  <c r="D498" i="1" s="1"/>
  <c r="E485" i="1"/>
  <c r="D485" i="1" s="1"/>
  <c r="E408" i="1"/>
  <c r="D408" i="1" s="1"/>
  <c r="E407" i="1"/>
  <c r="D407" i="1" s="1"/>
  <c r="E401" i="1"/>
  <c r="D401" i="1" s="1"/>
  <c r="E400" i="1"/>
  <c r="D400" i="1" s="1"/>
  <c r="E399" i="1"/>
  <c r="D399" i="1" s="1"/>
  <c r="E396" i="1"/>
  <c r="D396" i="1" s="1"/>
  <c r="E311" i="1"/>
  <c r="D311" i="1" s="1"/>
  <c r="D294" i="1"/>
  <c r="D293" i="1"/>
  <c r="D291" i="1"/>
  <c r="E276" i="1"/>
  <c r="D276" i="1" s="1"/>
  <c r="E275" i="1"/>
  <c r="D275" i="1" s="1"/>
  <c r="E257" i="1"/>
  <c r="D257" i="1" s="1"/>
  <c r="E256" i="1"/>
  <c r="D256" i="1" s="1"/>
  <c r="E163" i="1"/>
  <c r="D163" i="1" s="1"/>
  <c r="D514" i="1"/>
  <c r="D515" i="1"/>
  <c r="D516" i="1"/>
  <c r="D517" i="1"/>
  <c r="D513" i="1"/>
  <c r="D502" i="1"/>
  <c r="D292" i="1"/>
  <c r="D271" i="1"/>
  <c r="D269" i="1"/>
  <c r="D265" i="1"/>
  <c r="E265" i="1" s="1"/>
  <c r="D254" i="1"/>
  <c r="D255" i="1"/>
  <c r="D258" i="1"/>
  <c r="D207" i="1"/>
  <c r="D198" i="1"/>
  <c r="D193" i="1"/>
  <c r="D194" i="1"/>
  <c r="G168" i="1"/>
  <c r="D168" i="1"/>
  <c r="G167" i="1"/>
  <c r="D167" i="1"/>
  <c r="E131" i="1"/>
  <c r="E132" i="1"/>
  <c r="E133" i="1"/>
  <c r="E134" i="1"/>
  <c r="E135" i="1"/>
  <c r="E136" i="1"/>
  <c r="E137" i="1"/>
  <c r="E138" i="1"/>
  <c r="E139" i="1"/>
  <c r="E140" i="1"/>
  <c r="E141" i="1"/>
  <c r="E130" i="1"/>
  <c r="E129" i="1"/>
  <c r="E128" i="1"/>
  <c r="E127" i="1"/>
  <c r="E142" i="1" l="1"/>
  <c r="E175" i="1" s="1"/>
  <c r="E59" i="5" l="1"/>
  <c r="E20" i="17"/>
  <c r="E18" i="17"/>
  <c r="C10" i="13"/>
  <c r="E10" i="13" s="1"/>
  <c r="G10" i="13" s="1"/>
  <c r="I10" i="13" s="1"/>
  <c r="E14" i="13"/>
  <c r="O14" i="13" s="1"/>
  <c r="O18" i="13" l="1"/>
  <c r="O12" i="13"/>
  <c r="E20" i="13"/>
  <c r="E24" i="13" s="1"/>
  <c r="K10" i="13"/>
  <c r="M10" i="13" s="1"/>
  <c r="O10" i="13" s="1"/>
  <c r="Q10" i="13" s="1"/>
  <c r="S10" i="13" l="1"/>
  <c r="BF498" i="4"/>
  <c r="BF34" i="4" s="1"/>
  <c r="BF492" i="4"/>
  <c r="BF29" i="4" s="1"/>
  <c r="BF463" i="4"/>
  <c r="BF475" i="4" s="1"/>
  <c r="BF26" i="4" s="1"/>
  <c r="BF454" i="4"/>
  <c r="BF450" i="4"/>
  <c r="BF442" i="4"/>
  <c r="BF419" i="4"/>
  <c r="BF423" i="4" s="1"/>
  <c r="BF402" i="4"/>
  <c r="BF19" i="4" s="1"/>
  <c r="BF395" i="4"/>
  <c r="BF20" i="4" s="1"/>
  <c r="BF388" i="4"/>
  <c r="BF377" i="4"/>
  <c r="BF364" i="4"/>
  <c r="BF349" i="4"/>
  <c r="BF339" i="4"/>
  <c r="BF323" i="4"/>
  <c r="BF314" i="4"/>
  <c r="BF316" i="4" s="1"/>
  <c r="BF286" i="4"/>
  <c r="BF274" i="4"/>
  <c r="BF259" i="4"/>
  <c r="BF246" i="4"/>
  <c r="BF236" i="4"/>
  <c r="BF231" i="4"/>
  <c r="BF223" i="4"/>
  <c r="BF214" i="4"/>
  <c r="BF210" i="4"/>
  <c r="BF206" i="4"/>
  <c r="BF202" i="4"/>
  <c r="BF198" i="4"/>
  <c r="BF189" i="4"/>
  <c r="BF186" i="4"/>
  <c r="BF178" i="4"/>
  <c r="BF169" i="4"/>
  <c r="BF165" i="4"/>
  <c r="BF157" i="4"/>
  <c r="BF142" i="4"/>
  <c r="BF124" i="4"/>
  <c r="BF104" i="4"/>
  <c r="BF94" i="4"/>
  <c r="BF83" i="4"/>
  <c r="BF74" i="4"/>
  <c r="BF62" i="4"/>
  <c r="BF52" i="4"/>
  <c r="BF51" i="4"/>
  <c r="BF50" i="4"/>
  <c r="BF48" i="4"/>
  <c r="BF47" i="4"/>
  <c r="BF46" i="4"/>
  <c r="BF40" i="4"/>
  <c r="BF36" i="4"/>
  <c r="BF35" i="4"/>
  <c r="BF28" i="4"/>
  <c r="BF27" i="4"/>
  <c r="BF9" i="4"/>
  <c r="BF8" i="4"/>
  <c r="BF7" i="4"/>
  <c r="BE498" i="4"/>
  <c r="BD498" i="4"/>
  <c r="BC498" i="4"/>
  <c r="BB498" i="4"/>
  <c r="AR498" i="4"/>
  <c r="AQ498" i="4"/>
  <c r="BA498" i="4"/>
  <c r="AO498" i="4"/>
  <c r="AN498" i="4"/>
  <c r="AM498" i="4"/>
  <c r="AL498" i="4"/>
  <c r="AZ498" i="4"/>
  <c r="AX498" i="4"/>
  <c r="AK498" i="4"/>
  <c r="AB498" i="4"/>
  <c r="AI498" i="4"/>
  <c r="AH498" i="4"/>
  <c r="AA498" i="4"/>
  <c r="Z498" i="4"/>
  <c r="AE498" i="4"/>
  <c r="Y498" i="4"/>
  <c r="X498" i="4"/>
  <c r="W498" i="4"/>
  <c r="V498" i="4"/>
  <c r="U498" i="4"/>
  <c r="T498" i="4"/>
  <c r="O498" i="4"/>
  <c r="N498" i="4"/>
  <c r="M498" i="4"/>
  <c r="S498" i="4"/>
  <c r="J498" i="4"/>
  <c r="I498" i="4"/>
  <c r="Q498" i="4"/>
  <c r="P498" i="4"/>
  <c r="H498" i="4"/>
  <c r="R498" i="4"/>
  <c r="D498" i="4"/>
  <c r="BF106" i="4" l="1"/>
  <c r="BF171" i="4" s="1"/>
  <c r="BF379" i="4"/>
  <c r="BF17" i="4" s="1"/>
  <c r="BF288" i="4"/>
  <c r="BF10" i="4" s="1"/>
  <c r="BF428" i="4"/>
  <c r="BF431" i="4"/>
  <c r="BF191" i="4"/>
  <c r="U10" i="13"/>
  <c r="X10" i="13" s="1"/>
  <c r="Z10" i="13" s="1"/>
  <c r="AB10" i="13" s="1"/>
  <c r="BF11" i="4"/>
  <c r="BF351" i="4"/>
  <c r="BF16" i="4" s="1"/>
  <c r="BF44" i="4"/>
  <c r="BF216" i="4"/>
  <c r="BF325" i="4"/>
  <c r="BF15" i="4" s="1"/>
  <c r="BF456" i="4"/>
  <c r="BF25" i="4" s="1"/>
  <c r="BF432" i="4"/>
  <c r="BF21" i="4"/>
  <c r="BF18" i="4"/>
  <c r="BF429" i="4"/>
  <c r="BF430" i="4" l="1"/>
  <c r="BF433" i="4" s="1"/>
  <c r="BF434" i="4" s="1"/>
  <c r="BF49" i="4" s="1"/>
  <c r="BF12" i="4"/>
  <c r="BF290" i="4"/>
  <c r="BF23" i="4"/>
  <c r="BF43" i="4"/>
  <c r="BF45" i="4" s="1"/>
  <c r="BF193" i="4"/>
  <c r="BF248" i="4" s="1"/>
  <c r="BF425" i="4"/>
  <c r="BF497" i="4" l="1"/>
  <c r="BF501" i="4" s="1"/>
  <c r="BF30" i="4"/>
  <c r="BF53" i="4"/>
  <c r="P7" i="4"/>
  <c r="AU492" i="4"/>
  <c r="AU29" i="4" s="1"/>
  <c r="AU463" i="4"/>
  <c r="AU475" i="4" s="1"/>
  <c r="AU26" i="4" s="1"/>
  <c r="AU454" i="4"/>
  <c r="AU450" i="4"/>
  <c r="AU442" i="4"/>
  <c r="AU419" i="4"/>
  <c r="AU423" i="4" s="1"/>
  <c r="AU432" i="4" s="1"/>
  <c r="AU402" i="4"/>
  <c r="AU19" i="4" s="1"/>
  <c r="AU395" i="4"/>
  <c r="AU20" i="4" s="1"/>
  <c r="AU388" i="4"/>
  <c r="AU377" i="4"/>
  <c r="AU364" i="4"/>
  <c r="AU349" i="4"/>
  <c r="AU339" i="4"/>
  <c r="AU323" i="4"/>
  <c r="AU314" i="4"/>
  <c r="AU307" i="4"/>
  <c r="AU286" i="4"/>
  <c r="AU274" i="4"/>
  <c r="AU259" i="4"/>
  <c r="AU11" i="4" s="1"/>
  <c r="AU246" i="4"/>
  <c r="AU236" i="4"/>
  <c r="AU231" i="4"/>
  <c r="AU223" i="4"/>
  <c r="AU46" i="4" s="1"/>
  <c r="AU214" i="4"/>
  <c r="AU210" i="4"/>
  <c r="AU206" i="4"/>
  <c r="AU202" i="4"/>
  <c r="AU198" i="4"/>
  <c r="AU189" i="4"/>
  <c r="AU186" i="4"/>
  <c r="AU178" i="4"/>
  <c r="AU169" i="4"/>
  <c r="AU165" i="4"/>
  <c r="AU157" i="4"/>
  <c r="AU142" i="4"/>
  <c r="AU124" i="4"/>
  <c r="AU104" i="4"/>
  <c r="AU94" i="4"/>
  <c r="AU83" i="4"/>
  <c r="AU74" i="4"/>
  <c r="AU62" i="4"/>
  <c r="AU52" i="4"/>
  <c r="AU51" i="4"/>
  <c r="AU50" i="4"/>
  <c r="AU48" i="4"/>
  <c r="AU47" i="4"/>
  <c r="AU40" i="4"/>
  <c r="AU36" i="4"/>
  <c r="AU35" i="4"/>
  <c r="AU34" i="4"/>
  <c r="AU28" i="4"/>
  <c r="AU9" i="4"/>
  <c r="AU8" i="4"/>
  <c r="AU7" i="4"/>
  <c r="AT29" i="4"/>
  <c r="AT463" i="4"/>
  <c r="AT475" i="4" s="1"/>
  <c r="AT26" i="4" s="1"/>
  <c r="AT454" i="4"/>
  <c r="AT450" i="4"/>
  <c r="AT442" i="4"/>
  <c r="AT419" i="4"/>
  <c r="AT423" i="4" s="1"/>
  <c r="AT432" i="4" s="1"/>
  <c r="AT402" i="4"/>
  <c r="AT19" i="4" s="1"/>
  <c r="AT395" i="4"/>
  <c r="AT20" i="4" s="1"/>
  <c r="AT388" i="4"/>
  <c r="AT18" i="4" s="1"/>
  <c r="AT377" i="4"/>
  <c r="AT364" i="4"/>
  <c r="AT349" i="4"/>
  <c r="AT339" i="4"/>
  <c r="AT323" i="4"/>
  <c r="AT314" i="4"/>
  <c r="AT307" i="4"/>
  <c r="AT286" i="4"/>
  <c r="AT274" i="4"/>
  <c r="AT259" i="4"/>
  <c r="AT11" i="4" s="1"/>
  <c r="AT246" i="4"/>
  <c r="AT236" i="4"/>
  <c r="AT231" i="4"/>
  <c r="AT223" i="4"/>
  <c r="AT214" i="4"/>
  <c r="AT210" i="4"/>
  <c r="AT206" i="4"/>
  <c r="AT202" i="4"/>
  <c r="AT198" i="4"/>
  <c r="AT189" i="4"/>
  <c r="AT186" i="4"/>
  <c r="AT178" i="4"/>
  <c r="AT169" i="4"/>
  <c r="AT165" i="4"/>
  <c r="AT157" i="4"/>
  <c r="AT142" i="4"/>
  <c r="AT124" i="4"/>
  <c r="AT104" i="4"/>
  <c r="AT94" i="4"/>
  <c r="AT83" i="4"/>
  <c r="AT74" i="4"/>
  <c r="AT62" i="4"/>
  <c r="AT52" i="4"/>
  <c r="AT51" i="4"/>
  <c r="AT50" i="4"/>
  <c r="AT48" i="4"/>
  <c r="AT47" i="4"/>
  <c r="AT46" i="4"/>
  <c r="AT40" i="4"/>
  <c r="AT36" i="4"/>
  <c r="AT35" i="4"/>
  <c r="AT34" i="4"/>
  <c r="AT28" i="4"/>
  <c r="AT9" i="4"/>
  <c r="AT8" i="4"/>
  <c r="AT7" i="4"/>
  <c r="BE492" i="4"/>
  <c r="BE29" i="4" s="1"/>
  <c r="BD492" i="4"/>
  <c r="BD29" i="4" s="1"/>
  <c r="BC492" i="4"/>
  <c r="BC29" i="4" s="1"/>
  <c r="BE463" i="4"/>
  <c r="BE475" i="4" s="1"/>
  <c r="BE26" i="4" s="1"/>
  <c r="BD463" i="4"/>
  <c r="BD475" i="4" s="1"/>
  <c r="BD26" i="4" s="1"/>
  <c r="BC463" i="4"/>
  <c r="BC475" i="4" s="1"/>
  <c r="BC26" i="4" s="1"/>
  <c r="BE454" i="4"/>
  <c r="BD454" i="4"/>
  <c r="BC454" i="4"/>
  <c r="BE450" i="4"/>
  <c r="BD450" i="4"/>
  <c r="BC450" i="4"/>
  <c r="BE442" i="4"/>
  <c r="BD442" i="4"/>
  <c r="BC442" i="4"/>
  <c r="BE419" i="4"/>
  <c r="BE423" i="4" s="1"/>
  <c r="BD419" i="4"/>
  <c r="BD423" i="4" s="1"/>
  <c r="BC419" i="4"/>
  <c r="BC423" i="4" s="1"/>
  <c r="BE402" i="4"/>
  <c r="BE19" i="4" s="1"/>
  <c r="BD402" i="4"/>
  <c r="BD19" i="4" s="1"/>
  <c r="BC402" i="4"/>
  <c r="BC19" i="4" s="1"/>
  <c r="BE395" i="4"/>
  <c r="BE20" i="4" s="1"/>
  <c r="BD395" i="4"/>
  <c r="BD20" i="4" s="1"/>
  <c r="BC395" i="4"/>
  <c r="BC20" i="4" s="1"/>
  <c r="BE388" i="4"/>
  <c r="BE18" i="4" s="1"/>
  <c r="BD388" i="4"/>
  <c r="BC388" i="4"/>
  <c r="BC18" i="4" s="1"/>
  <c r="BE377" i="4"/>
  <c r="BD377" i="4"/>
  <c r="BC377" i="4"/>
  <c r="BE364" i="4"/>
  <c r="BD364" i="4"/>
  <c r="BC364" i="4"/>
  <c r="BE349" i="4"/>
  <c r="BD349" i="4"/>
  <c r="BC349" i="4"/>
  <c r="BE339" i="4"/>
  <c r="BD339" i="4"/>
  <c r="BC339" i="4"/>
  <c r="BE323" i="4"/>
  <c r="BD323" i="4"/>
  <c r="BC323" i="4"/>
  <c r="BE314" i="4"/>
  <c r="BD314" i="4"/>
  <c r="BC314" i="4"/>
  <c r="BE307" i="4"/>
  <c r="BD307" i="4"/>
  <c r="BC307" i="4"/>
  <c r="BE286" i="4"/>
  <c r="BD286" i="4"/>
  <c r="BC286" i="4"/>
  <c r="BE274" i="4"/>
  <c r="BD274" i="4"/>
  <c r="BC274" i="4"/>
  <c r="BE259" i="4"/>
  <c r="BE11" i="4" s="1"/>
  <c r="BD259" i="4"/>
  <c r="BC259" i="4"/>
  <c r="BC11" i="4" s="1"/>
  <c r="BE246" i="4"/>
  <c r="BD246" i="4"/>
  <c r="BC246" i="4"/>
  <c r="BE236" i="4"/>
  <c r="BD236" i="4"/>
  <c r="BC236" i="4"/>
  <c r="BE231" i="4"/>
  <c r="BD231" i="4"/>
  <c r="BC231" i="4"/>
  <c r="BE223" i="4"/>
  <c r="BD223" i="4"/>
  <c r="BC223" i="4"/>
  <c r="BE214" i="4"/>
  <c r="BD214" i="4"/>
  <c r="BC214" i="4"/>
  <c r="BE210" i="4"/>
  <c r="BD210" i="4"/>
  <c r="BC210" i="4"/>
  <c r="BE206" i="4"/>
  <c r="BD206" i="4"/>
  <c r="BC206" i="4"/>
  <c r="BE202" i="4"/>
  <c r="BD202" i="4"/>
  <c r="BC202" i="4"/>
  <c r="BE198" i="4"/>
  <c r="BD198" i="4"/>
  <c r="BC198" i="4"/>
  <c r="BE189" i="4"/>
  <c r="BD189" i="4"/>
  <c r="BC189" i="4"/>
  <c r="BE186" i="4"/>
  <c r="BD186" i="4"/>
  <c r="BC186" i="4"/>
  <c r="BE178" i="4"/>
  <c r="BD178" i="4"/>
  <c r="BC178" i="4"/>
  <c r="BE169" i="4"/>
  <c r="BD169" i="4"/>
  <c r="BC169" i="4"/>
  <c r="BE165" i="4"/>
  <c r="BD165" i="4"/>
  <c r="BC165" i="4"/>
  <c r="BE157" i="4"/>
  <c r="BD157" i="4"/>
  <c r="BC157" i="4"/>
  <c r="BE142" i="4"/>
  <c r="BD142" i="4"/>
  <c r="BC142" i="4"/>
  <c r="BE124" i="4"/>
  <c r="BD124" i="4"/>
  <c r="BC124" i="4"/>
  <c r="BE104" i="4"/>
  <c r="BD104" i="4"/>
  <c r="BC104" i="4"/>
  <c r="BE94" i="4"/>
  <c r="BD94" i="4"/>
  <c r="BC94" i="4"/>
  <c r="BE83" i="4"/>
  <c r="BD83" i="4"/>
  <c r="BC83" i="4"/>
  <c r="BE74" i="4"/>
  <c r="BD74" i="4"/>
  <c r="BC74" i="4"/>
  <c r="BE62" i="4"/>
  <c r="BD62" i="4"/>
  <c r="BC62" i="4"/>
  <c r="BE52" i="4"/>
  <c r="BD52" i="4"/>
  <c r="BC52" i="4"/>
  <c r="BE51" i="4"/>
  <c r="BD51" i="4"/>
  <c r="BC51" i="4"/>
  <c r="BE50" i="4"/>
  <c r="BD50" i="4"/>
  <c r="BC50" i="4"/>
  <c r="BE48" i="4"/>
  <c r="BD48" i="4"/>
  <c r="BC48" i="4"/>
  <c r="BE47" i="4"/>
  <c r="BD47" i="4"/>
  <c r="BC47" i="4"/>
  <c r="BE46" i="4"/>
  <c r="BD46" i="4"/>
  <c r="BC46" i="4"/>
  <c r="BE40" i="4"/>
  <c r="BD40" i="4"/>
  <c r="BC40" i="4"/>
  <c r="BE36" i="4"/>
  <c r="BD36" i="4"/>
  <c r="BC36" i="4"/>
  <c r="BE35" i="4"/>
  <c r="BD35" i="4"/>
  <c r="BC35" i="4"/>
  <c r="BE34" i="4"/>
  <c r="BD34" i="4"/>
  <c r="BC34" i="4"/>
  <c r="BE28" i="4"/>
  <c r="BD28" i="4"/>
  <c r="BC28" i="4"/>
  <c r="BE9" i="4"/>
  <c r="BD9" i="4"/>
  <c r="BC9" i="4"/>
  <c r="BE8" i="4"/>
  <c r="BD8" i="4"/>
  <c r="BC8" i="4"/>
  <c r="BE7" i="4"/>
  <c r="BD7" i="4"/>
  <c r="BC7" i="4"/>
  <c r="AS492" i="4"/>
  <c r="AS29" i="4" s="1"/>
  <c r="AS463" i="4"/>
  <c r="AS475" i="4" s="1"/>
  <c r="AS26" i="4" s="1"/>
  <c r="AS454" i="4"/>
  <c r="AS450" i="4"/>
  <c r="AS442" i="4"/>
  <c r="AS419" i="4"/>
  <c r="AS423" i="4" s="1"/>
  <c r="AS402" i="4"/>
  <c r="AS19" i="4" s="1"/>
  <c r="AS395" i="4"/>
  <c r="AS20" i="4" s="1"/>
  <c r="AS388" i="4"/>
  <c r="AS18" i="4" s="1"/>
  <c r="AS377" i="4"/>
  <c r="AS364" i="4"/>
  <c r="AS349" i="4"/>
  <c r="AS339" i="4"/>
  <c r="AS323" i="4"/>
  <c r="AS314" i="4"/>
  <c r="AS307" i="4"/>
  <c r="AS286" i="4"/>
  <c r="AS274" i="4"/>
  <c r="AS259" i="4"/>
  <c r="AS11" i="4" s="1"/>
  <c r="AS246" i="4"/>
  <c r="AS236" i="4"/>
  <c r="AS231" i="4"/>
  <c r="AS223" i="4"/>
  <c r="AS214" i="4"/>
  <c r="AS210" i="4"/>
  <c r="AS206" i="4"/>
  <c r="AS202" i="4"/>
  <c r="AS198" i="4"/>
  <c r="AS189" i="4"/>
  <c r="AS186" i="4"/>
  <c r="AS178" i="4"/>
  <c r="AS169" i="4"/>
  <c r="AS165" i="4"/>
  <c r="AS157" i="4"/>
  <c r="AS142" i="4"/>
  <c r="AS124" i="4"/>
  <c r="AS104" i="4"/>
  <c r="AS94" i="4"/>
  <c r="AS83" i="4"/>
  <c r="AS74" i="4"/>
  <c r="AS62" i="4"/>
  <c r="AS52" i="4"/>
  <c r="AS51" i="4"/>
  <c r="AS50" i="4"/>
  <c r="AS48" i="4"/>
  <c r="AS47" i="4"/>
  <c r="AS46" i="4"/>
  <c r="AS40" i="4"/>
  <c r="AS36" i="4"/>
  <c r="AS35" i="4"/>
  <c r="AS34" i="4"/>
  <c r="AS33" i="4"/>
  <c r="AS28" i="4"/>
  <c r="AS27" i="4"/>
  <c r="AS9" i="4"/>
  <c r="AS8" i="4"/>
  <c r="AS7" i="4"/>
  <c r="BB492" i="4"/>
  <c r="BB29" i="4" s="1"/>
  <c r="AR492" i="4"/>
  <c r="AR29" i="4" s="1"/>
  <c r="BB463" i="4"/>
  <c r="BB475" i="4" s="1"/>
  <c r="BB26" i="4" s="1"/>
  <c r="AR463" i="4"/>
  <c r="AR475" i="4" s="1"/>
  <c r="AR26" i="4" s="1"/>
  <c r="BB454" i="4"/>
  <c r="AR454" i="4"/>
  <c r="BB450" i="4"/>
  <c r="AR450" i="4"/>
  <c r="BB442" i="4"/>
  <c r="AR442" i="4"/>
  <c r="BB419" i="4"/>
  <c r="BB423" i="4" s="1"/>
  <c r="AR419" i="4"/>
  <c r="AR423" i="4" s="1"/>
  <c r="AR21" i="4" s="1"/>
  <c r="BB402" i="4"/>
  <c r="BB19" i="4" s="1"/>
  <c r="AR402" i="4"/>
  <c r="AR19" i="4" s="1"/>
  <c r="BB395" i="4"/>
  <c r="BB20" i="4" s="1"/>
  <c r="AR395" i="4"/>
  <c r="AR20" i="4" s="1"/>
  <c r="BB388" i="4"/>
  <c r="BB18" i="4" s="1"/>
  <c r="AR388" i="4"/>
  <c r="BB377" i="4"/>
  <c r="AR377" i="4"/>
  <c r="BB364" i="4"/>
  <c r="AR364" i="4"/>
  <c r="BB349" i="4"/>
  <c r="AR349" i="4"/>
  <c r="BB339" i="4"/>
  <c r="AR339" i="4"/>
  <c r="BB323" i="4"/>
  <c r="AR323" i="4"/>
  <c r="BB314" i="4"/>
  <c r="AR314" i="4"/>
  <c r="BB307" i="4"/>
  <c r="AR307" i="4"/>
  <c r="BB286" i="4"/>
  <c r="AR286" i="4"/>
  <c r="BB274" i="4"/>
  <c r="AR274" i="4"/>
  <c r="BB259" i="4"/>
  <c r="BB11" i="4" s="1"/>
  <c r="AR259" i="4"/>
  <c r="AR11" i="4" s="1"/>
  <c r="BB246" i="4"/>
  <c r="AR246" i="4"/>
  <c r="BB236" i="4"/>
  <c r="AR236" i="4"/>
  <c r="BB231" i="4"/>
  <c r="AR231" i="4"/>
  <c r="BB223" i="4"/>
  <c r="AR223" i="4"/>
  <c r="AR46" i="4" s="1"/>
  <c r="BB214" i="4"/>
  <c r="AR214" i="4"/>
  <c r="BB210" i="4"/>
  <c r="AR210" i="4"/>
  <c r="BB206" i="4"/>
  <c r="AR206" i="4"/>
  <c r="BB202" i="4"/>
  <c r="AR202" i="4"/>
  <c r="BB198" i="4"/>
  <c r="AR198" i="4"/>
  <c r="BB189" i="4"/>
  <c r="AR189" i="4"/>
  <c r="BB186" i="4"/>
  <c r="AR186" i="4"/>
  <c r="BB178" i="4"/>
  <c r="AR178" i="4"/>
  <c r="BB169" i="4"/>
  <c r="AR169" i="4"/>
  <c r="BB165" i="4"/>
  <c r="AR165" i="4"/>
  <c r="BB157" i="4"/>
  <c r="AR157" i="4"/>
  <c r="BB142" i="4"/>
  <c r="AR142" i="4"/>
  <c r="BB124" i="4"/>
  <c r="AR124" i="4"/>
  <c r="BB104" i="4"/>
  <c r="AR104" i="4"/>
  <c r="BB94" i="4"/>
  <c r="AR94" i="4"/>
  <c r="BB83" i="4"/>
  <c r="AR83" i="4"/>
  <c r="BB74" i="4"/>
  <c r="AR74" i="4"/>
  <c r="BB62" i="4"/>
  <c r="AR62" i="4"/>
  <c r="BB52" i="4"/>
  <c r="AR52" i="4"/>
  <c r="BB51" i="4"/>
  <c r="AR51" i="4"/>
  <c r="BB50" i="4"/>
  <c r="AR50" i="4"/>
  <c r="BB48" i="4"/>
  <c r="AR48" i="4"/>
  <c r="BB47" i="4"/>
  <c r="AR47" i="4"/>
  <c r="BB46" i="4"/>
  <c r="BB40" i="4"/>
  <c r="AR40" i="4"/>
  <c r="BB36" i="4"/>
  <c r="AR36" i="4"/>
  <c r="BB35" i="4"/>
  <c r="AR35" i="4"/>
  <c r="BB34" i="4"/>
  <c r="AR34" i="4"/>
  <c r="BB28" i="4"/>
  <c r="AR28" i="4"/>
  <c r="BB9" i="4"/>
  <c r="AR9" i="4"/>
  <c r="BB8" i="4"/>
  <c r="AR8" i="4"/>
  <c r="BB7" i="4"/>
  <c r="AR7" i="4"/>
  <c r="AQ492" i="4"/>
  <c r="AQ29" i="4" s="1"/>
  <c r="AQ463" i="4"/>
  <c r="AQ475" i="4" s="1"/>
  <c r="AQ26" i="4" s="1"/>
  <c r="AQ454" i="4"/>
  <c r="AQ450" i="4"/>
  <c r="AQ442" i="4"/>
  <c r="AQ419" i="4"/>
  <c r="AQ423" i="4" s="1"/>
  <c r="AQ21" i="4" s="1"/>
  <c r="AQ402" i="4"/>
  <c r="AQ19" i="4" s="1"/>
  <c r="AQ395" i="4"/>
  <c r="AQ20" i="4" s="1"/>
  <c r="AQ388" i="4"/>
  <c r="AQ377" i="4"/>
  <c r="AQ364" i="4"/>
  <c r="AQ349" i="4"/>
  <c r="AQ339" i="4"/>
  <c r="AQ323" i="4"/>
  <c r="AQ314" i="4"/>
  <c r="AQ307" i="4"/>
  <c r="AQ286" i="4"/>
  <c r="AQ274" i="4"/>
  <c r="AQ259" i="4"/>
  <c r="AQ246" i="4"/>
  <c r="AQ236" i="4"/>
  <c r="AQ231" i="4"/>
  <c r="AQ223" i="4"/>
  <c r="AQ46" i="4" s="1"/>
  <c r="AQ214" i="4"/>
  <c r="AQ210" i="4"/>
  <c r="AQ206" i="4"/>
  <c r="AQ202" i="4"/>
  <c r="AQ198" i="4"/>
  <c r="AQ189" i="4"/>
  <c r="AQ186" i="4"/>
  <c r="AQ178" i="4"/>
  <c r="AQ169" i="4"/>
  <c r="AQ165" i="4"/>
  <c r="AQ157" i="4"/>
  <c r="AQ142" i="4"/>
  <c r="AQ124" i="4"/>
  <c r="AQ104" i="4"/>
  <c r="AQ94" i="4"/>
  <c r="AQ83" i="4"/>
  <c r="AQ74" i="4"/>
  <c r="AQ62" i="4"/>
  <c r="AQ52" i="4"/>
  <c r="AQ51" i="4"/>
  <c r="AQ50" i="4"/>
  <c r="AQ48" i="4"/>
  <c r="AQ47" i="4"/>
  <c r="AQ40" i="4"/>
  <c r="AQ36" i="4"/>
  <c r="AQ35" i="4"/>
  <c r="AQ34" i="4"/>
  <c r="AQ28" i="4"/>
  <c r="AQ9" i="4"/>
  <c r="AQ8" i="4"/>
  <c r="AQ7" i="4"/>
  <c r="BA492" i="4"/>
  <c r="BA29" i="4" s="1"/>
  <c r="BA463" i="4"/>
  <c r="BA475" i="4" s="1"/>
  <c r="BA26" i="4" s="1"/>
  <c r="BA454" i="4"/>
  <c r="BA450" i="4"/>
  <c r="BA442" i="4"/>
  <c r="BA419" i="4"/>
  <c r="BA423" i="4" s="1"/>
  <c r="BA402" i="4"/>
  <c r="BA19" i="4" s="1"/>
  <c r="BA395" i="4"/>
  <c r="BA20" i="4" s="1"/>
  <c r="BA388" i="4"/>
  <c r="BA377" i="4"/>
  <c r="BA364" i="4"/>
  <c r="BA349" i="4"/>
  <c r="BA339" i="4"/>
  <c r="BA323" i="4"/>
  <c r="BA314" i="4"/>
  <c r="BA307" i="4"/>
  <c r="BA286" i="4"/>
  <c r="BA274" i="4"/>
  <c r="BA259" i="4"/>
  <c r="BA11" i="4" s="1"/>
  <c r="BA246" i="4"/>
  <c r="BA236" i="4"/>
  <c r="BA231" i="4"/>
  <c r="BA223" i="4"/>
  <c r="BA214" i="4"/>
  <c r="BA210" i="4"/>
  <c r="BA206" i="4"/>
  <c r="BA202" i="4"/>
  <c r="BA198" i="4"/>
  <c r="BA189" i="4"/>
  <c r="BA186" i="4"/>
  <c r="BA178" i="4"/>
  <c r="BA169" i="4"/>
  <c r="BA165" i="4"/>
  <c r="BA157" i="4"/>
  <c r="BA142" i="4"/>
  <c r="BA124" i="4"/>
  <c r="BA104" i="4"/>
  <c r="BA94" i="4"/>
  <c r="BA83" i="4"/>
  <c r="BA74" i="4"/>
  <c r="BA62" i="4"/>
  <c r="BA52" i="4"/>
  <c r="BA51" i="4"/>
  <c r="BA50" i="4"/>
  <c r="BA48" i="4"/>
  <c r="BA47" i="4"/>
  <c r="BA46" i="4"/>
  <c r="BA40" i="4"/>
  <c r="BA36" i="4"/>
  <c r="BA35" i="4"/>
  <c r="BA34" i="4"/>
  <c r="BA28" i="4"/>
  <c r="BA9" i="4"/>
  <c r="BA8" i="4"/>
  <c r="BA7" i="4"/>
  <c r="AO463" i="4"/>
  <c r="AO475" i="4" s="1"/>
  <c r="AO26" i="4" s="1"/>
  <c r="AO454" i="4"/>
  <c r="AO450" i="4"/>
  <c r="AO442" i="4"/>
  <c r="AO419" i="4"/>
  <c r="AO423" i="4" s="1"/>
  <c r="AO402" i="4"/>
  <c r="AO19" i="4" s="1"/>
  <c r="AO395" i="4"/>
  <c r="AO20" i="4" s="1"/>
  <c r="AO388" i="4"/>
  <c r="AO377" i="4"/>
  <c r="AO364" i="4"/>
  <c r="AO349" i="4"/>
  <c r="AO339" i="4"/>
  <c r="AO323" i="4"/>
  <c r="AO314" i="4"/>
  <c r="AO307" i="4"/>
  <c r="AO286" i="4"/>
  <c r="AO274" i="4"/>
  <c r="AO259" i="4"/>
  <c r="AO246" i="4"/>
  <c r="AO236" i="4"/>
  <c r="AO231" i="4"/>
  <c r="AO223" i="4"/>
  <c r="AO214" i="4"/>
  <c r="AO210" i="4"/>
  <c r="AO206" i="4"/>
  <c r="AO202" i="4"/>
  <c r="AO198" i="4"/>
  <c r="AO189" i="4"/>
  <c r="AO186" i="4"/>
  <c r="AO178" i="4"/>
  <c r="AO169" i="4"/>
  <c r="AO165" i="4"/>
  <c r="AO157" i="4"/>
  <c r="AO142" i="4"/>
  <c r="AO124" i="4"/>
  <c r="AO104" i="4"/>
  <c r="AO94" i="4"/>
  <c r="AO83" i="4"/>
  <c r="AO74" i="4"/>
  <c r="AO62" i="4"/>
  <c r="AO52" i="4"/>
  <c r="AO51" i="4"/>
  <c r="AO50" i="4"/>
  <c r="AO48" i="4"/>
  <c r="AO47" i="4"/>
  <c r="AO46" i="4"/>
  <c r="AO40" i="4"/>
  <c r="AO36" i="4"/>
  <c r="AO35" i="4"/>
  <c r="AO34" i="4"/>
  <c r="AO29" i="4"/>
  <c r="AO28" i="4"/>
  <c r="AO9" i="4"/>
  <c r="AO8" i="4"/>
  <c r="AO7" i="4"/>
  <c r="AP492" i="4"/>
  <c r="AP29" i="4" s="1"/>
  <c r="AP463" i="4"/>
  <c r="AP475" i="4" s="1"/>
  <c r="AP26" i="4" s="1"/>
  <c r="AP454" i="4"/>
  <c r="AP450" i="4"/>
  <c r="AP442" i="4"/>
  <c r="AP34" i="4" s="1"/>
  <c r="AP419" i="4"/>
  <c r="AP423" i="4" s="1"/>
  <c r="AP402" i="4"/>
  <c r="AP19" i="4" s="1"/>
  <c r="AP395" i="4"/>
  <c r="AP20" i="4" s="1"/>
  <c r="AP388" i="4"/>
  <c r="AP377" i="4"/>
  <c r="AP364" i="4"/>
  <c r="AP349" i="4"/>
  <c r="AP339" i="4"/>
  <c r="AP323" i="4"/>
  <c r="AP314" i="4"/>
  <c r="AP307" i="4"/>
  <c r="AP286" i="4"/>
  <c r="AP274" i="4"/>
  <c r="AP288" i="4" s="1"/>
  <c r="AP10" i="4" s="1"/>
  <c r="AP259" i="4"/>
  <c r="AP246" i="4"/>
  <c r="AP236" i="4"/>
  <c r="AP231" i="4"/>
  <c r="AP223" i="4"/>
  <c r="AP46" i="4" s="1"/>
  <c r="AP214" i="4"/>
  <c r="AP210" i="4"/>
  <c r="AP206" i="4"/>
  <c r="AP202" i="4"/>
  <c r="AP198" i="4"/>
  <c r="AP189" i="4"/>
  <c r="AP186" i="4"/>
  <c r="AP178" i="4"/>
  <c r="AP169" i="4"/>
  <c r="AP165" i="4"/>
  <c r="AP157" i="4"/>
  <c r="AP142" i="4"/>
  <c r="AP124" i="4"/>
  <c r="AP104" i="4"/>
  <c r="AP94" i="4"/>
  <c r="AP83" i="4"/>
  <c r="AP74" i="4"/>
  <c r="AP62" i="4"/>
  <c r="AP52" i="4"/>
  <c r="AP51" i="4"/>
  <c r="AP50" i="4"/>
  <c r="AP48" i="4"/>
  <c r="AP47" i="4"/>
  <c r="AP40" i="4"/>
  <c r="AP36" i="4"/>
  <c r="AP35" i="4"/>
  <c r="AP28" i="4"/>
  <c r="AN492" i="4"/>
  <c r="AN29" i="4" s="1"/>
  <c r="AN463" i="4"/>
  <c r="AN475" i="4" s="1"/>
  <c r="AN26" i="4" s="1"/>
  <c r="AN454" i="4"/>
  <c r="AN450" i="4"/>
  <c r="AN442" i="4"/>
  <c r="AN419" i="4"/>
  <c r="AN423" i="4" s="1"/>
  <c r="AN402" i="4"/>
  <c r="AN19" i="4" s="1"/>
  <c r="AN395" i="4"/>
  <c r="AN20" i="4" s="1"/>
  <c r="AN388" i="4"/>
  <c r="AN377" i="4"/>
  <c r="AN364" i="4"/>
  <c r="AN349" i="4"/>
  <c r="AN339" i="4"/>
  <c r="AN323" i="4"/>
  <c r="AN314" i="4"/>
  <c r="AN307" i="4"/>
  <c r="AN286" i="4"/>
  <c r="AN274" i="4"/>
  <c r="AN259" i="4"/>
  <c r="AN11" i="4" s="1"/>
  <c r="AN246" i="4"/>
  <c r="AN236" i="4"/>
  <c r="AN231" i="4"/>
  <c r="AN223" i="4"/>
  <c r="AN46" i="4" s="1"/>
  <c r="AN214" i="4"/>
  <c r="AN210" i="4"/>
  <c r="AN206" i="4"/>
  <c r="AN202" i="4"/>
  <c r="AN198" i="4"/>
  <c r="AN189" i="4"/>
  <c r="AN186" i="4"/>
  <c r="AN178" i="4"/>
  <c r="AN169" i="4"/>
  <c r="AN165" i="4"/>
  <c r="AN157" i="4"/>
  <c r="AN142" i="4"/>
  <c r="AN124" i="4"/>
  <c r="AN104" i="4"/>
  <c r="AN94" i="4"/>
  <c r="AN83" i="4"/>
  <c r="AN74" i="4"/>
  <c r="AN62" i="4"/>
  <c r="AN52" i="4"/>
  <c r="AN51" i="4"/>
  <c r="AN50" i="4"/>
  <c r="AN48" i="4"/>
  <c r="AN47" i="4"/>
  <c r="AN40" i="4"/>
  <c r="AN36" i="4"/>
  <c r="AN35" i="4"/>
  <c r="AN34" i="4"/>
  <c r="AN28" i="4"/>
  <c r="AN9" i="4"/>
  <c r="AN8" i="4"/>
  <c r="AN7" i="4"/>
  <c r="AM492" i="4"/>
  <c r="AM29" i="4" s="1"/>
  <c r="AM463" i="4"/>
  <c r="AM475" i="4" s="1"/>
  <c r="AM26" i="4" s="1"/>
  <c r="AM454" i="4"/>
  <c r="AM450" i="4"/>
  <c r="AM419" i="4"/>
  <c r="AM423" i="4" s="1"/>
  <c r="AM402" i="4"/>
  <c r="AM19" i="4" s="1"/>
  <c r="AM395" i="4"/>
  <c r="AM20" i="4" s="1"/>
  <c r="AM388" i="4"/>
  <c r="AM18" i="4" s="1"/>
  <c r="AM377" i="4"/>
  <c r="AM364" i="4"/>
  <c r="AM349" i="4"/>
  <c r="AM339" i="4"/>
  <c r="AM323" i="4"/>
  <c r="AM314" i="4"/>
  <c r="AM307" i="4"/>
  <c r="AM286" i="4"/>
  <c r="AM274" i="4"/>
  <c r="AM259" i="4"/>
  <c r="AM11" i="4" s="1"/>
  <c r="AM246" i="4"/>
  <c r="AM236" i="4"/>
  <c r="AM231" i="4"/>
  <c r="AM223" i="4"/>
  <c r="AM214" i="4"/>
  <c r="AM210" i="4"/>
  <c r="AM206" i="4"/>
  <c r="AM202" i="4"/>
  <c r="AM198" i="4"/>
  <c r="AM189" i="4"/>
  <c r="AM186" i="4"/>
  <c r="AM178" i="4"/>
  <c r="AM169" i="4"/>
  <c r="AM165" i="4"/>
  <c r="AM157" i="4"/>
  <c r="AM142" i="4"/>
  <c r="AM124" i="4"/>
  <c r="AM104" i="4"/>
  <c r="AM94" i="4"/>
  <c r="AM83" i="4"/>
  <c r="AM74" i="4"/>
  <c r="AM62" i="4"/>
  <c r="AM52" i="4"/>
  <c r="AM51" i="4"/>
  <c r="AM50" i="4"/>
  <c r="AM48" i="4"/>
  <c r="AM47" i="4"/>
  <c r="AM46" i="4"/>
  <c r="AM40" i="4"/>
  <c r="AM36" i="4"/>
  <c r="AM35" i="4"/>
  <c r="AM28" i="4"/>
  <c r="AM9" i="4"/>
  <c r="AM8" i="4"/>
  <c r="AM7" i="4"/>
  <c r="AL492" i="4"/>
  <c r="AL29" i="4" s="1"/>
  <c r="AL463" i="4"/>
  <c r="AL475" i="4" s="1"/>
  <c r="AL26" i="4" s="1"/>
  <c r="AL454" i="4"/>
  <c r="AL450" i="4"/>
  <c r="AL442" i="4"/>
  <c r="AL419" i="4"/>
  <c r="AL423" i="4" s="1"/>
  <c r="AL402" i="4"/>
  <c r="AL19" i="4" s="1"/>
  <c r="AL395" i="4"/>
  <c r="AL20" i="4" s="1"/>
  <c r="AL388" i="4"/>
  <c r="AL377" i="4"/>
  <c r="AL364" i="4"/>
  <c r="AL349" i="4"/>
  <c r="AL339" i="4"/>
  <c r="AL323" i="4"/>
  <c r="AL314" i="4"/>
  <c r="AL307" i="4"/>
  <c r="AL286" i="4"/>
  <c r="AL274" i="4"/>
  <c r="AL259" i="4"/>
  <c r="AL246" i="4"/>
  <c r="AL236" i="4"/>
  <c r="AL231" i="4"/>
  <c r="AL223" i="4"/>
  <c r="AL214" i="4"/>
  <c r="AL210" i="4"/>
  <c r="AL206" i="4"/>
  <c r="AL202" i="4"/>
  <c r="AL198" i="4"/>
  <c r="AL189" i="4"/>
  <c r="AL186" i="4"/>
  <c r="AL178" i="4"/>
  <c r="AL169" i="4"/>
  <c r="AL165" i="4"/>
  <c r="AL157" i="4"/>
  <c r="AL142" i="4"/>
  <c r="AL124" i="4"/>
  <c r="AL104" i="4"/>
  <c r="AL94" i="4"/>
  <c r="AL83" i="4"/>
  <c r="AL74" i="4"/>
  <c r="AL62" i="4"/>
  <c r="AL52" i="4"/>
  <c r="AL51" i="4"/>
  <c r="AL50" i="4"/>
  <c r="AL48" i="4"/>
  <c r="AL47" i="4"/>
  <c r="AL46" i="4"/>
  <c r="AL40" i="4"/>
  <c r="AL36" i="4"/>
  <c r="AL35" i="4"/>
  <c r="AL28" i="4"/>
  <c r="AL9" i="4"/>
  <c r="AL8" i="4"/>
  <c r="AL7" i="4"/>
  <c r="AZ492" i="4"/>
  <c r="AZ29" i="4" s="1"/>
  <c r="AZ463" i="4"/>
  <c r="AZ475" i="4" s="1"/>
  <c r="AZ26" i="4" s="1"/>
  <c r="AZ454" i="4"/>
  <c r="AZ450" i="4"/>
  <c r="AZ442" i="4"/>
  <c r="AZ419" i="4"/>
  <c r="AZ423" i="4" s="1"/>
  <c r="AZ402" i="4"/>
  <c r="AZ19" i="4" s="1"/>
  <c r="AZ395" i="4"/>
  <c r="AZ20" i="4" s="1"/>
  <c r="AZ388" i="4"/>
  <c r="AZ377" i="4"/>
  <c r="AZ364" i="4"/>
  <c r="AZ349" i="4"/>
  <c r="AZ339" i="4"/>
  <c r="AZ323" i="4"/>
  <c r="AZ314" i="4"/>
  <c r="AZ307" i="4"/>
  <c r="AZ286" i="4"/>
  <c r="AZ274" i="4"/>
  <c r="AZ259" i="4"/>
  <c r="AZ246" i="4"/>
  <c r="AZ236" i="4"/>
  <c r="AZ231" i="4"/>
  <c r="AZ223" i="4"/>
  <c r="AZ46" i="4" s="1"/>
  <c r="AZ214" i="4"/>
  <c r="AZ210" i="4"/>
  <c r="AZ206" i="4"/>
  <c r="AZ202" i="4"/>
  <c r="AZ198" i="4"/>
  <c r="AZ189" i="4"/>
  <c r="AZ186" i="4"/>
  <c r="AZ178" i="4"/>
  <c r="AZ169" i="4"/>
  <c r="AZ165" i="4"/>
  <c r="AZ157" i="4"/>
  <c r="AZ142" i="4"/>
  <c r="AZ124" i="4"/>
  <c r="AZ104" i="4"/>
  <c r="AZ94" i="4"/>
  <c r="AZ83" i="4"/>
  <c r="AZ74" i="4"/>
  <c r="AZ62" i="4"/>
  <c r="AZ52" i="4"/>
  <c r="AZ51" i="4"/>
  <c r="AZ50" i="4"/>
  <c r="AZ48" i="4"/>
  <c r="AZ47" i="4"/>
  <c r="AZ40" i="4"/>
  <c r="AZ36" i="4"/>
  <c r="AZ35" i="4"/>
  <c r="AZ28" i="4"/>
  <c r="AZ9" i="4"/>
  <c r="AZ8" i="4"/>
  <c r="AZ7" i="4"/>
  <c r="AY492" i="4"/>
  <c r="AY29" i="4" s="1"/>
  <c r="AY463" i="4"/>
  <c r="AY475" i="4" s="1"/>
  <c r="AY26" i="4" s="1"/>
  <c r="AY454" i="4"/>
  <c r="AY450" i="4"/>
  <c r="AY419" i="4"/>
  <c r="AY423" i="4" s="1"/>
  <c r="AY402" i="4"/>
  <c r="AY19" i="4" s="1"/>
  <c r="AY395" i="4"/>
  <c r="AY20" i="4" s="1"/>
  <c r="AY388" i="4"/>
  <c r="AY18" i="4" s="1"/>
  <c r="AY377" i="4"/>
  <c r="AY364" i="4"/>
  <c r="AY349" i="4"/>
  <c r="AY339" i="4"/>
  <c r="AY323" i="4"/>
  <c r="AY314" i="4"/>
  <c r="AY307" i="4"/>
  <c r="AY286" i="4"/>
  <c r="AY274" i="4"/>
  <c r="AY259" i="4"/>
  <c r="AY11" i="4" s="1"/>
  <c r="AY246" i="4"/>
  <c r="AY236" i="4"/>
  <c r="AY231" i="4"/>
  <c r="AY223" i="4"/>
  <c r="AY46" i="4" s="1"/>
  <c r="AY214" i="4"/>
  <c r="AY210" i="4"/>
  <c r="AY206" i="4"/>
  <c r="AY202" i="4"/>
  <c r="AY198" i="4"/>
  <c r="AY189" i="4"/>
  <c r="AY186" i="4"/>
  <c r="AY178" i="4"/>
  <c r="AY169" i="4"/>
  <c r="AY165" i="4"/>
  <c r="AY157" i="4"/>
  <c r="AY142" i="4"/>
  <c r="AY124" i="4"/>
  <c r="AY104" i="4"/>
  <c r="AY94" i="4"/>
  <c r="AY83" i="4"/>
  <c r="AY74" i="4"/>
  <c r="AY62" i="4"/>
  <c r="AY52" i="4"/>
  <c r="AY51" i="4"/>
  <c r="AY50" i="4"/>
  <c r="AY48" i="4"/>
  <c r="AY47" i="4"/>
  <c r="AY40" i="4"/>
  <c r="AY36" i="4"/>
  <c r="AY35" i="4"/>
  <c r="AY28" i="4"/>
  <c r="AY9" i="4"/>
  <c r="AY8" i="4"/>
  <c r="AY7" i="4"/>
  <c r="AX492" i="4"/>
  <c r="AX29" i="4" s="1"/>
  <c r="AX463" i="4"/>
  <c r="AX475" i="4" s="1"/>
  <c r="AX26" i="4" s="1"/>
  <c r="AX454" i="4"/>
  <c r="AX450" i="4"/>
  <c r="AX442" i="4"/>
  <c r="AX419" i="4"/>
  <c r="AX423" i="4" s="1"/>
  <c r="AX402" i="4"/>
  <c r="AX19" i="4" s="1"/>
  <c r="AX395" i="4"/>
  <c r="AX20" i="4" s="1"/>
  <c r="AX388" i="4"/>
  <c r="AX377" i="4"/>
  <c r="AX364" i="4"/>
  <c r="AX349" i="4"/>
  <c r="AX339" i="4"/>
  <c r="AX323" i="4"/>
  <c r="AX314" i="4"/>
  <c r="AX307" i="4"/>
  <c r="AX286" i="4"/>
  <c r="AX274" i="4"/>
  <c r="AX259" i="4"/>
  <c r="AX11" i="4" s="1"/>
  <c r="AX246" i="4"/>
  <c r="AX236" i="4"/>
  <c r="AX231" i="4"/>
  <c r="AX223" i="4"/>
  <c r="AX214" i="4"/>
  <c r="AX210" i="4"/>
  <c r="AX206" i="4"/>
  <c r="AX202" i="4"/>
  <c r="AX198" i="4"/>
  <c r="AX189" i="4"/>
  <c r="AX186" i="4"/>
  <c r="AX178" i="4"/>
  <c r="AX169" i="4"/>
  <c r="AX165" i="4"/>
  <c r="AX157" i="4"/>
  <c r="AX142" i="4"/>
  <c r="AX124" i="4"/>
  <c r="AX104" i="4"/>
  <c r="AX94" i="4"/>
  <c r="AX83" i="4"/>
  <c r="AX74" i="4"/>
  <c r="AX62" i="4"/>
  <c r="AX52" i="4"/>
  <c r="AX51" i="4"/>
  <c r="AX50" i="4"/>
  <c r="AX48" i="4"/>
  <c r="AX47" i="4"/>
  <c r="AX46" i="4"/>
  <c r="AX40" i="4"/>
  <c r="AX36" i="4"/>
  <c r="AX35" i="4"/>
  <c r="AX34" i="4"/>
  <c r="AX28" i="4"/>
  <c r="AX9" i="4"/>
  <c r="AX8" i="4"/>
  <c r="AX7" i="4"/>
  <c r="AK492" i="4"/>
  <c r="AK29" i="4" s="1"/>
  <c r="AK463" i="4"/>
  <c r="AK475" i="4" s="1"/>
  <c r="AK26" i="4" s="1"/>
  <c r="AK454" i="4"/>
  <c r="AK450" i="4"/>
  <c r="AK442" i="4"/>
  <c r="AK419" i="4"/>
  <c r="AK423" i="4" s="1"/>
  <c r="AK402" i="4"/>
  <c r="AK19" i="4" s="1"/>
  <c r="AK395" i="4"/>
  <c r="AK20" i="4" s="1"/>
  <c r="AK388" i="4"/>
  <c r="AK377" i="4"/>
  <c r="AK364" i="4"/>
  <c r="AK349" i="4"/>
  <c r="AK339" i="4"/>
  <c r="AK323" i="4"/>
  <c r="AK314" i="4"/>
  <c r="AK307" i="4"/>
  <c r="AK286" i="4"/>
  <c r="AK274" i="4"/>
  <c r="AK259" i="4"/>
  <c r="AK11" i="4" s="1"/>
  <c r="AK246" i="4"/>
  <c r="AK236" i="4"/>
  <c r="AK231" i="4"/>
  <c r="AK223" i="4"/>
  <c r="AK214" i="4"/>
  <c r="AK210" i="4"/>
  <c r="AK206" i="4"/>
  <c r="AK202" i="4"/>
  <c r="AK198" i="4"/>
  <c r="AK189" i="4"/>
  <c r="AK186" i="4"/>
  <c r="AK178" i="4"/>
  <c r="AK169" i="4"/>
  <c r="AK165" i="4"/>
  <c r="AK157" i="4"/>
  <c r="AK142" i="4"/>
  <c r="AK124" i="4"/>
  <c r="AK104" i="4"/>
  <c r="AK94" i="4"/>
  <c r="AK83" i="4"/>
  <c r="AK74" i="4"/>
  <c r="AK62" i="4"/>
  <c r="AK52" i="4"/>
  <c r="AK51" i="4"/>
  <c r="AK50" i="4"/>
  <c r="AK48" i="4"/>
  <c r="AK47" i="4"/>
  <c r="AK46" i="4"/>
  <c r="AK40" i="4"/>
  <c r="AK36" i="4"/>
  <c r="AK35" i="4"/>
  <c r="AK34" i="4"/>
  <c r="AK28" i="4"/>
  <c r="AK9" i="4"/>
  <c r="AK8" i="4"/>
  <c r="AK7" i="4"/>
  <c r="AB492" i="4"/>
  <c r="AB29" i="4" s="1"/>
  <c r="AB463" i="4"/>
  <c r="AB475" i="4" s="1"/>
  <c r="AB26" i="4" s="1"/>
  <c r="AB454" i="4"/>
  <c r="AB450" i="4"/>
  <c r="AB442" i="4"/>
  <c r="AB419" i="4"/>
  <c r="AB423" i="4" s="1"/>
  <c r="AB402" i="4"/>
  <c r="AB19" i="4" s="1"/>
  <c r="AB395" i="4"/>
  <c r="AB20" i="4" s="1"/>
  <c r="AB388" i="4"/>
  <c r="AB377" i="4"/>
  <c r="AB364" i="4"/>
  <c r="AB349" i="4"/>
  <c r="AB339" i="4"/>
  <c r="AB323" i="4"/>
  <c r="AB314" i="4"/>
  <c r="AB307" i="4"/>
  <c r="AB286" i="4"/>
  <c r="AB274" i="4"/>
  <c r="AB259" i="4"/>
  <c r="AB11" i="4" s="1"/>
  <c r="AB246" i="4"/>
  <c r="AB236" i="4"/>
  <c r="AB231" i="4"/>
  <c r="AB223" i="4"/>
  <c r="AB214" i="4"/>
  <c r="AB210" i="4"/>
  <c r="AB206" i="4"/>
  <c r="AB202" i="4"/>
  <c r="AB198" i="4"/>
  <c r="AB189" i="4"/>
  <c r="AB186" i="4"/>
  <c r="AB178" i="4"/>
  <c r="AB169" i="4"/>
  <c r="AB165" i="4"/>
  <c r="AB157" i="4"/>
  <c r="AB142" i="4"/>
  <c r="AB124" i="4"/>
  <c r="AB104" i="4"/>
  <c r="AB94" i="4"/>
  <c r="AB83" i="4"/>
  <c r="AB74" i="4"/>
  <c r="AB62" i="4"/>
  <c r="AB52" i="4"/>
  <c r="AB51" i="4"/>
  <c r="AB50" i="4"/>
  <c r="AB48" i="4"/>
  <c r="AB47" i="4"/>
  <c r="AB46" i="4"/>
  <c r="AB40" i="4"/>
  <c r="AB36" i="4"/>
  <c r="AB35" i="4"/>
  <c r="AB34" i="4"/>
  <c r="AB28" i="4"/>
  <c r="AB9" i="4"/>
  <c r="AB8" i="4"/>
  <c r="AB7" i="4"/>
  <c r="AI492" i="4"/>
  <c r="AI29" i="4" s="1"/>
  <c r="AI463" i="4"/>
  <c r="AI475" i="4" s="1"/>
  <c r="AI26" i="4" s="1"/>
  <c r="AI454" i="4"/>
  <c r="AI450" i="4"/>
  <c r="AI442" i="4"/>
  <c r="AI419" i="4"/>
  <c r="AI402" i="4"/>
  <c r="AI19" i="4" s="1"/>
  <c r="AI20" i="4"/>
  <c r="AI18" i="4"/>
  <c r="AI364" i="4"/>
  <c r="AI349" i="4"/>
  <c r="AI339" i="4"/>
  <c r="AI323" i="4"/>
  <c r="AI314" i="4"/>
  <c r="AI307" i="4"/>
  <c r="AI286" i="4"/>
  <c r="AI274" i="4"/>
  <c r="AI259" i="4"/>
  <c r="AI11" i="4" s="1"/>
  <c r="AI246" i="4"/>
  <c r="AI236" i="4"/>
  <c r="AI231" i="4"/>
  <c r="AI223" i="4"/>
  <c r="AI214" i="4"/>
  <c r="AI210" i="4"/>
  <c r="AI206" i="4"/>
  <c r="AI202" i="4"/>
  <c r="AI198" i="4"/>
  <c r="AI189" i="4"/>
  <c r="AI186" i="4"/>
  <c r="AI178" i="4"/>
  <c r="AI169" i="4"/>
  <c r="AI165" i="4"/>
  <c r="AI157" i="4"/>
  <c r="AI142" i="4"/>
  <c r="AI124" i="4"/>
  <c r="AI104" i="4"/>
  <c r="AI94" i="4"/>
  <c r="AI83" i="4"/>
  <c r="AI74" i="4"/>
  <c r="AI62" i="4"/>
  <c r="AI52" i="4"/>
  <c r="AI51" i="4"/>
  <c r="AI50" i="4"/>
  <c r="AI48" i="4"/>
  <c r="AI47" i="4"/>
  <c r="AI46" i="4"/>
  <c r="AI40" i="4"/>
  <c r="AI36" i="4"/>
  <c r="AI35" i="4"/>
  <c r="AI34" i="4"/>
  <c r="AI28" i="4"/>
  <c r="AI9" i="4"/>
  <c r="AI8" i="4"/>
  <c r="AI7" i="4"/>
  <c r="AH492" i="4"/>
  <c r="AH29" i="4" s="1"/>
  <c r="AH463" i="4"/>
  <c r="AH475" i="4" s="1"/>
  <c r="AH26" i="4" s="1"/>
  <c r="AH454" i="4"/>
  <c r="AH450" i="4"/>
  <c r="AH442" i="4"/>
  <c r="AH419" i="4"/>
  <c r="AH423" i="4" s="1"/>
  <c r="AH432" i="4" s="1"/>
  <c r="AH402" i="4"/>
  <c r="AH19" i="4" s="1"/>
  <c r="AH395" i="4"/>
  <c r="AH20" i="4" s="1"/>
  <c r="AH388" i="4"/>
  <c r="AH377" i="4"/>
  <c r="AH364" i="4"/>
  <c r="AH349" i="4"/>
  <c r="AH339" i="4"/>
  <c r="AH323" i="4"/>
  <c r="AH314" i="4"/>
  <c r="AH307" i="4"/>
  <c r="AH286" i="4"/>
  <c r="AH274" i="4"/>
  <c r="AH259" i="4"/>
  <c r="AH246" i="4"/>
  <c r="AH236" i="4"/>
  <c r="AH231" i="4"/>
  <c r="AH223" i="4"/>
  <c r="AH46" i="4" s="1"/>
  <c r="AH214" i="4"/>
  <c r="AH210" i="4"/>
  <c r="AH206" i="4"/>
  <c r="AH202" i="4"/>
  <c r="AH198" i="4"/>
  <c r="AH189" i="4"/>
  <c r="AH186" i="4"/>
  <c r="AH178" i="4"/>
  <c r="AH169" i="4"/>
  <c r="AH165" i="4"/>
  <c r="AH157" i="4"/>
  <c r="AH142" i="4"/>
  <c r="AH124" i="4"/>
  <c r="AH104" i="4"/>
  <c r="AH94" i="4"/>
  <c r="AH83" i="4"/>
  <c r="AH74" i="4"/>
  <c r="AH62" i="4"/>
  <c r="AH52" i="4"/>
  <c r="AH51" i="4"/>
  <c r="AH50" i="4"/>
  <c r="AH48" i="4"/>
  <c r="AH47" i="4"/>
  <c r="AH40" i="4"/>
  <c r="AH36" i="4"/>
  <c r="AH35" i="4"/>
  <c r="AH34" i="4"/>
  <c r="AH28" i="4"/>
  <c r="AH9" i="4"/>
  <c r="AH8" i="4"/>
  <c r="AH7" i="4"/>
  <c r="AA492" i="4"/>
  <c r="AA29" i="4" s="1"/>
  <c r="Z492" i="4"/>
  <c r="Z29" i="4" s="1"/>
  <c r="AA463" i="4"/>
  <c r="AA475" i="4" s="1"/>
  <c r="AA26" i="4" s="1"/>
  <c r="Z463" i="4"/>
  <c r="Z475" i="4" s="1"/>
  <c r="Z26" i="4" s="1"/>
  <c r="AA454" i="4"/>
  <c r="Z454" i="4"/>
  <c r="AA450" i="4"/>
  <c r="Z450" i="4"/>
  <c r="AA442" i="4"/>
  <c r="Z442" i="4"/>
  <c r="AA419" i="4"/>
  <c r="AA423" i="4" s="1"/>
  <c r="Z419" i="4"/>
  <c r="Z423" i="4" s="1"/>
  <c r="AA402" i="4"/>
  <c r="AA19" i="4" s="1"/>
  <c r="Z402" i="4"/>
  <c r="Z19" i="4" s="1"/>
  <c r="AA395" i="4"/>
  <c r="Z395" i="4"/>
  <c r="Z20" i="4" s="1"/>
  <c r="AA388" i="4"/>
  <c r="AA18" i="4" s="1"/>
  <c r="Z388" i="4"/>
  <c r="Z18" i="4" s="1"/>
  <c r="AA377" i="4"/>
  <c r="Z377" i="4"/>
  <c r="AA364" i="4"/>
  <c r="Z364" i="4"/>
  <c r="AA349" i="4"/>
  <c r="Z349" i="4"/>
  <c r="AA339" i="4"/>
  <c r="Z339" i="4"/>
  <c r="AA323" i="4"/>
  <c r="Z323" i="4"/>
  <c r="AA314" i="4"/>
  <c r="Z314" i="4"/>
  <c r="AA307" i="4"/>
  <c r="Z307" i="4"/>
  <c r="AA286" i="4"/>
  <c r="Z286" i="4"/>
  <c r="AA274" i="4"/>
  <c r="Z274" i="4"/>
  <c r="AA259" i="4"/>
  <c r="Z259" i="4"/>
  <c r="AA246" i="4"/>
  <c r="Z246" i="4"/>
  <c r="AA236" i="4"/>
  <c r="Z236" i="4"/>
  <c r="AA231" i="4"/>
  <c r="Z231" i="4"/>
  <c r="AA223" i="4"/>
  <c r="Z223" i="4"/>
  <c r="AA214" i="4"/>
  <c r="Z214" i="4"/>
  <c r="AA210" i="4"/>
  <c r="Z210" i="4"/>
  <c r="AA206" i="4"/>
  <c r="Z206" i="4"/>
  <c r="AA202" i="4"/>
  <c r="Z202" i="4"/>
  <c r="AA198" i="4"/>
  <c r="Z198" i="4"/>
  <c r="AA189" i="4"/>
  <c r="Z189" i="4"/>
  <c r="AA186" i="4"/>
  <c r="Z186" i="4"/>
  <c r="AA178" i="4"/>
  <c r="Z178" i="4"/>
  <c r="AA169" i="4"/>
  <c r="Z169" i="4"/>
  <c r="AA165" i="4"/>
  <c r="Z165" i="4"/>
  <c r="AA157" i="4"/>
  <c r="Z157" i="4"/>
  <c r="AA142" i="4"/>
  <c r="Z142" i="4"/>
  <c r="AA124" i="4"/>
  <c r="Z124" i="4"/>
  <c r="AA104" i="4"/>
  <c r="Z104" i="4"/>
  <c r="AA94" i="4"/>
  <c r="Z94" i="4"/>
  <c r="AA83" i="4"/>
  <c r="Z83" i="4"/>
  <c r="AA74" i="4"/>
  <c r="Z74" i="4"/>
  <c r="AA62" i="4"/>
  <c r="Z62" i="4"/>
  <c r="AA52" i="4"/>
  <c r="Z52" i="4"/>
  <c r="AA51" i="4"/>
  <c r="Z51" i="4"/>
  <c r="AA50" i="4"/>
  <c r="Z50" i="4"/>
  <c r="AA48" i="4"/>
  <c r="Z48" i="4"/>
  <c r="AA47" i="4"/>
  <c r="Z47" i="4"/>
  <c r="AA46" i="4"/>
  <c r="Z46" i="4"/>
  <c r="AA40" i="4"/>
  <c r="Z40" i="4"/>
  <c r="AA36" i="4"/>
  <c r="Z36" i="4"/>
  <c r="AA35" i="4"/>
  <c r="Z35" i="4"/>
  <c r="AA34" i="4"/>
  <c r="AA28" i="4"/>
  <c r="Z28" i="4"/>
  <c r="AA9" i="4"/>
  <c r="Z9" i="4"/>
  <c r="AA8" i="4"/>
  <c r="Z8" i="4"/>
  <c r="AA7" i="4"/>
  <c r="Z7" i="4"/>
  <c r="AE492" i="4"/>
  <c r="AE29" i="4" s="1"/>
  <c r="Y492" i="4"/>
  <c r="Y29" i="4" s="1"/>
  <c r="AE463" i="4"/>
  <c r="AE475" i="4" s="1"/>
  <c r="AE26" i="4" s="1"/>
  <c r="Y463" i="4"/>
  <c r="Y475" i="4" s="1"/>
  <c r="Y26" i="4" s="1"/>
  <c r="AE454" i="4"/>
  <c r="Y454" i="4"/>
  <c r="AE450" i="4"/>
  <c r="Y450" i="4"/>
  <c r="AE442" i="4"/>
  <c r="Y442" i="4"/>
  <c r="AE419" i="4"/>
  <c r="AE423" i="4" s="1"/>
  <c r="Y419" i="4"/>
  <c r="Y423" i="4" s="1"/>
  <c r="Y21" i="4" s="1"/>
  <c r="AE402" i="4"/>
  <c r="AE19" i="4" s="1"/>
  <c r="Y402" i="4"/>
  <c r="Y19" i="4" s="1"/>
  <c r="AE395" i="4"/>
  <c r="Y395" i="4"/>
  <c r="Y20" i="4" s="1"/>
  <c r="AE388" i="4"/>
  <c r="AE18" i="4" s="1"/>
  <c r="Y388" i="4"/>
  <c r="AE377" i="4"/>
  <c r="Y377" i="4"/>
  <c r="AE364" i="4"/>
  <c r="Y364" i="4"/>
  <c r="AE349" i="4"/>
  <c r="Y349" i="4"/>
  <c r="AE339" i="4"/>
  <c r="Y339" i="4"/>
  <c r="AE323" i="4"/>
  <c r="Y323" i="4"/>
  <c r="AE314" i="4"/>
  <c r="Y314" i="4"/>
  <c r="AE307" i="4"/>
  <c r="Y307" i="4"/>
  <c r="AE286" i="4"/>
  <c r="Y286" i="4"/>
  <c r="AE274" i="4"/>
  <c r="Y274" i="4"/>
  <c r="AE259" i="4"/>
  <c r="AE11" i="4" s="1"/>
  <c r="Y259" i="4"/>
  <c r="Y11" i="4" s="1"/>
  <c r="AE246" i="4"/>
  <c r="Y246" i="4"/>
  <c r="AE236" i="4"/>
  <c r="Y236" i="4"/>
  <c r="AE231" i="4"/>
  <c r="Y231" i="4"/>
  <c r="AE223" i="4"/>
  <c r="Y223" i="4"/>
  <c r="Y46" i="4" s="1"/>
  <c r="AE214" i="4"/>
  <c r="Y214" i="4"/>
  <c r="AE210" i="4"/>
  <c r="Y210" i="4"/>
  <c r="AE206" i="4"/>
  <c r="Y206" i="4"/>
  <c r="AE202" i="4"/>
  <c r="Y202" i="4"/>
  <c r="AE198" i="4"/>
  <c r="Y198" i="4"/>
  <c r="AE189" i="4"/>
  <c r="Y189" i="4"/>
  <c r="AE186" i="4"/>
  <c r="Y186" i="4"/>
  <c r="AE178" i="4"/>
  <c r="Y178" i="4"/>
  <c r="AE169" i="4"/>
  <c r="Y169" i="4"/>
  <c r="AE165" i="4"/>
  <c r="Y165" i="4"/>
  <c r="AE157" i="4"/>
  <c r="Y157" i="4"/>
  <c r="AE142" i="4"/>
  <c r="Y142" i="4"/>
  <c r="AE124" i="4"/>
  <c r="Y124" i="4"/>
  <c r="AE104" i="4"/>
  <c r="Y104" i="4"/>
  <c r="AE94" i="4"/>
  <c r="Y94" i="4"/>
  <c r="AE83" i="4"/>
  <c r="Y83" i="4"/>
  <c r="AE74" i="4"/>
  <c r="Y74" i="4"/>
  <c r="AE62" i="4"/>
  <c r="Y62" i="4"/>
  <c r="AE52" i="4"/>
  <c r="Y52" i="4"/>
  <c r="AE51" i="4"/>
  <c r="Y51" i="4"/>
  <c r="AE50" i="4"/>
  <c r="Y50" i="4"/>
  <c r="AE48" i="4"/>
  <c r="Y48" i="4"/>
  <c r="AE47" i="4"/>
  <c r="Y47" i="4"/>
  <c r="AE46" i="4"/>
  <c r="AE40" i="4"/>
  <c r="Y40" i="4"/>
  <c r="AE36" i="4"/>
  <c r="Y36" i="4"/>
  <c r="AE35" i="4"/>
  <c r="Y35" i="4"/>
  <c r="AE34" i="4"/>
  <c r="Y34" i="4"/>
  <c r="AE28" i="4"/>
  <c r="Y28" i="4"/>
  <c r="AE9" i="4"/>
  <c r="Y9" i="4"/>
  <c r="AE8" i="4"/>
  <c r="Y8" i="4"/>
  <c r="AE7" i="4"/>
  <c r="Y7" i="4"/>
  <c r="X492" i="4"/>
  <c r="X29" i="4" s="1"/>
  <c r="X463" i="4"/>
  <c r="X475" i="4" s="1"/>
  <c r="X26" i="4" s="1"/>
  <c r="X454" i="4"/>
  <c r="X450" i="4"/>
  <c r="X442" i="4"/>
  <c r="X419" i="4"/>
  <c r="X423" i="4" s="1"/>
  <c r="X432" i="4" s="1"/>
  <c r="X402" i="4"/>
  <c r="X19" i="4" s="1"/>
  <c r="X395" i="4"/>
  <c r="X20" i="4" s="1"/>
  <c r="X388" i="4"/>
  <c r="X377" i="4"/>
  <c r="X364" i="4"/>
  <c r="X349" i="4"/>
  <c r="X339" i="4"/>
  <c r="X323" i="4"/>
  <c r="X314" i="4"/>
  <c r="X307" i="4"/>
  <c r="X286" i="4"/>
  <c r="X274" i="4"/>
  <c r="X259" i="4"/>
  <c r="X11" i="4" s="1"/>
  <c r="X246" i="4"/>
  <c r="X236" i="4"/>
  <c r="X231" i="4"/>
  <c r="X223" i="4"/>
  <c r="X46" i="4" s="1"/>
  <c r="X214" i="4"/>
  <c r="X210" i="4"/>
  <c r="X206" i="4"/>
  <c r="X202" i="4"/>
  <c r="X198" i="4"/>
  <c r="X189" i="4"/>
  <c r="X186" i="4"/>
  <c r="X178" i="4"/>
  <c r="X169" i="4"/>
  <c r="X165" i="4"/>
  <c r="X157" i="4"/>
  <c r="X142" i="4"/>
  <c r="X124" i="4"/>
  <c r="X104" i="4"/>
  <c r="X94" i="4"/>
  <c r="X83" i="4"/>
  <c r="X74" i="4"/>
  <c r="X62" i="4"/>
  <c r="X52" i="4"/>
  <c r="X51" i="4"/>
  <c r="X50" i="4"/>
  <c r="X48" i="4"/>
  <c r="X47" i="4"/>
  <c r="X40" i="4"/>
  <c r="X36" i="4"/>
  <c r="X35" i="4"/>
  <c r="X34" i="4"/>
  <c r="X28" i="4"/>
  <c r="X9" i="4"/>
  <c r="X8" i="4"/>
  <c r="X7" i="4"/>
  <c r="W492" i="4"/>
  <c r="W29" i="4" s="1"/>
  <c r="W463" i="4"/>
  <c r="W475" i="4" s="1"/>
  <c r="W26" i="4" s="1"/>
  <c r="W454" i="4"/>
  <c r="W450" i="4"/>
  <c r="W442" i="4"/>
  <c r="W419" i="4"/>
  <c r="W423" i="4" s="1"/>
  <c r="W402" i="4"/>
  <c r="W19" i="4" s="1"/>
  <c r="W395" i="4"/>
  <c r="W20" i="4" s="1"/>
  <c r="W388" i="4"/>
  <c r="W377" i="4"/>
  <c r="W364" i="4"/>
  <c r="W349" i="4"/>
  <c r="W339" i="4"/>
  <c r="W323" i="4"/>
  <c r="W314" i="4"/>
  <c r="W307" i="4"/>
  <c r="W286" i="4"/>
  <c r="W274" i="4"/>
  <c r="W259" i="4"/>
  <c r="W11" i="4" s="1"/>
  <c r="W246" i="4"/>
  <c r="W236" i="4"/>
  <c r="W231" i="4"/>
  <c r="W223" i="4"/>
  <c r="W214" i="4"/>
  <c r="W210" i="4"/>
  <c r="W206" i="4"/>
  <c r="W202" i="4"/>
  <c r="W198" i="4"/>
  <c r="W189" i="4"/>
  <c r="W186" i="4"/>
  <c r="W178" i="4"/>
  <c r="W169" i="4"/>
  <c r="W165" i="4"/>
  <c r="W157" i="4"/>
  <c r="W142" i="4"/>
  <c r="W124" i="4"/>
  <c r="W104" i="4"/>
  <c r="W94" i="4"/>
  <c r="W83" i="4"/>
  <c r="W74" i="4"/>
  <c r="W62" i="4"/>
  <c r="W52" i="4"/>
  <c r="W51" i="4"/>
  <c r="W50" i="4"/>
  <c r="W48" i="4"/>
  <c r="W47" i="4"/>
  <c r="W46" i="4"/>
  <c r="W40" i="4"/>
  <c r="W36" i="4"/>
  <c r="W35" i="4"/>
  <c r="W34" i="4"/>
  <c r="W28" i="4"/>
  <c r="W9" i="4"/>
  <c r="W8" i="4"/>
  <c r="W7" i="4"/>
  <c r="V492" i="4"/>
  <c r="V29" i="4" s="1"/>
  <c r="U492" i="4"/>
  <c r="U29" i="4" s="1"/>
  <c r="T492" i="4"/>
  <c r="T29" i="4" s="1"/>
  <c r="V463" i="4"/>
  <c r="V475" i="4" s="1"/>
  <c r="V26" i="4" s="1"/>
  <c r="U463" i="4"/>
  <c r="U475" i="4" s="1"/>
  <c r="U26" i="4" s="1"/>
  <c r="T463" i="4"/>
  <c r="T475" i="4" s="1"/>
  <c r="T26" i="4" s="1"/>
  <c r="V454" i="4"/>
  <c r="U454" i="4"/>
  <c r="T454" i="4"/>
  <c r="V450" i="4"/>
  <c r="U450" i="4"/>
  <c r="T450" i="4"/>
  <c r="V442" i="4"/>
  <c r="U442" i="4"/>
  <c r="T442" i="4"/>
  <c r="V419" i="4"/>
  <c r="V423" i="4" s="1"/>
  <c r="V21" i="4" s="1"/>
  <c r="U419" i="4"/>
  <c r="U423" i="4" s="1"/>
  <c r="T419" i="4"/>
  <c r="T423" i="4" s="1"/>
  <c r="T21" i="4" s="1"/>
  <c r="V402" i="4"/>
  <c r="V19" i="4" s="1"/>
  <c r="U402" i="4"/>
  <c r="U19" i="4" s="1"/>
  <c r="T402" i="4"/>
  <c r="T19" i="4" s="1"/>
  <c r="V395" i="4"/>
  <c r="V20" i="4" s="1"/>
  <c r="U395" i="4"/>
  <c r="T395" i="4"/>
  <c r="T20" i="4" s="1"/>
  <c r="V388" i="4"/>
  <c r="U388" i="4"/>
  <c r="U18" i="4" s="1"/>
  <c r="T388" i="4"/>
  <c r="V377" i="4"/>
  <c r="U377" i="4"/>
  <c r="T377" i="4"/>
  <c r="V364" i="4"/>
  <c r="U364" i="4"/>
  <c r="T364" i="4"/>
  <c r="V349" i="4"/>
  <c r="U349" i="4"/>
  <c r="T349" i="4"/>
  <c r="V339" i="4"/>
  <c r="U339" i="4"/>
  <c r="T339" i="4"/>
  <c r="V323" i="4"/>
  <c r="U323" i="4"/>
  <c r="T323" i="4"/>
  <c r="V314" i="4"/>
  <c r="U314" i="4"/>
  <c r="T314" i="4"/>
  <c r="V307" i="4"/>
  <c r="U307" i="4"/>
  <c r="T307" i="4"/>
  <c r="V286" i="4"/>
  <c r="U286" i="4"/>
  <c r="T286" i="4"/>
  <c r="V274" i="4"/>
  <c r="U274" i="4"/>
  <c r="T274" i="4"/>
  <c r="V259" i="4"/>
  <c r="V11" i="4" s="1"/>
  <c r="U259" i="4"/>
  <c r="U11" i="4" s="1"/>
  <c r="T259" i="4"/>
  <c r="T11" i="4" s="1"/>
  <c r="V246" i="4"/>
  <c r="U246" i="4"/>
  <c r="T246" i="4"/>
  <c r="V236" i="4"/>
  <c r="U236" i="4"/>
  <c r="T236" i="4"/>
  <c r="V231" i="4"/>
  <c r="U231" i="4"/>
  <c r="T231" i="4"/>
  <c r="V223" i="4"/>
  <c r="V46" i="4" s="1"/>
  <c r="U223" i="4"/>
  <c r="U46" i="4" s="1"/>
  <c r="T223" i="4"/>
  <c r="T46" i="4" s="1"/>
  <c r="V214" i="4"/>
  <c r="U214" i="4"/>
  <c r="T214" i="4"/>
  <c r="V210" i="4"/>
  <c r="U210" i="4"/>
  <c r="T210" i="4"/>
  <c r="V206" i="4"/>
  <c r="U206" i="4"/>
  <c r="T206" i="4"/>
  <c r="V202" i="4"/>
  <c r="U202" i="4"/>
  <c r="T202" i="4"/>
  <c r="V198" i="4"/>
  <c r="U198" i="4"/>
  <c r="T198" i="4"/>
  <c r="V189" i="4"/>
  <c r="U189" i="4"/>
  <c r="T189" i="4"/>
  <c r="V186" i="4"/>
  <c r="U186" i="4"/>
  <c r="T186" i="4"/>
  <c r="V178" i="4"/>
  <c r="U178" i="4"/>
  <c r="T178" i="4"/>
  <c r="V169" i="4"/>
  <c r="U169" i="4"/>
  <c r="T169" i="4"/>
  <c r="V165" i="4"/>
  <c r="U165" i="4"/>
  <c r="T165" i="4"/>
  <c r="V157" i="4"/>
  <c r="U157" i="4"/>
  <c r="T157" i="4"/>
  <c r="V142" i="4"/>
  <c r="U142" i="4"/>
  <c r="T142" i="4"/>
  <c r="V124" i="4"/>
  <c r="U124" i="4"/>
  <c r="T124" i="4"/>
  <c r="V104" i="4"/>
  <c r="U104" i="4"/>
  <c r="T104" i="4"/>
  <c r="V94" i="4"/>
  <c r="U94" i="4"/>
  <c r="T94" i="4"/>
  <c r="V83" i="4"/>
  <c r="U83" i="4"/>
  <c r="T83" i="4"/>
  <c r="V74" i="4"/>
  <c r="U74" i="4"/>
  <c r="T74" i="4"/>
  <c r="V62" i="4"/>
  <c r="U62" i="4"/>
  <c r="T62" i="4"/>
  <c r="V52" i="4"/>
  <c r="U52" i="4"/>
  <c r="T52" i="4"/>
  <c r="V51" i="4"/>
  <c r="U51" i="4"/>
  <c r="T51" i="4"/>
  <c r="V50" i="4"/>
  <c r="U50" i="4"/>
  <c r="T50" i="4"/>
  <c r="V48" i="4"/>
  <c r="U48" i="4"/>
  <c r="T48" i="4"/>
  <c r="V47" i="4"/>
  <c r="U47" i="4"/>
  <c r="T47" i="4"/>
  <c r="V40" i="4"/>
  <c r="U40" i="4"/>
  <c r="T40" i="4"/>
  <c r="V36" i="4"/>
  <c r="U36" i="4"/>
  <c r="T36" i="4"/>
  <c r="V35" i="4"/>
  <c r="U35" i="4"/>
  <c r="T35" i="4"/>
  <c r="V34" i="4"/>
  <c r="T34" i="4"/>
  <c r="V28" i="4"/>
  <c r="U28" i="4"/>
  <c r="T28" i="4"/>
  <c r="V9" i="4"/>
  <c r="U9" i="4"/>
  <c r="T9" i="4"/>
  <c r="V8" i="4"/>
  <c r="U8" i="4"/>
  <c r="T8" i="4"/>
  <c r="V7" i="4"/>
  <c r="U7" i="4"/>
  <c r="T7" i="4"/>
  <c r="O492" i="4"/>
  <c r="O29" i="4" s="1"/>
  <c r="O463" i="4"/>
  <c r="O475" i="4" s="1"/>
  <c r="O26" i="4" s="1"/>
  <c r="O454" i="4"/>
  <c r="O450" i="4"/>
  <c r="O442" i="4"/>
  <c r="O419" i="4"/>
  <c r="O423" i="4" s="1"/>
  <c r="O402" i="4"/>
  <c r="O19" i="4" s="1"/>
  <c r="O395" i="4"/>
  <c r="O20" i="4" s="1"/>
  <c r="O388" i="4"/>
  <c r="O377" i="4"/>
  <c r="O364" i="4"/>
  <c r="O349" i="4"/>
  <c r="O339" i="4"/>
  <c r="O323" i="4"/>
  <c r="O314" i="4"/>
  <c r="O307" i="4"/>
  <c r="O286" i="4"/>
  <c r="O274" i="4"/>
  <c r="O259" i="4"/>
  <c r="O246" i="4"/>
  <c r="O236" i="4"/>
  <c r="O231" i="4"/>
  <c r="O223" i="4"/>
  <c r="O46" i="4" s="1"/>
  <c r="O214" i="4"/>
  <c r="O210" i="4"/>
  <c r="O206" i="4"/>
  <c r="O202" i="4"/>
  <c r="O198" i="4"/>
  <c r="O189" i="4"/>
  <c r="O186" i="4"/>
  <c r="O178" i="4"/>
  <c r="O169" i="4"/>
  <c r="O165" i="4"/>
  <c r="O157" i="4"/>
  <c r="O142" i="4"/>
  <c r="O124" i="4"/>
  <c r="O104" i="4"/>
  <c r="O94" i="4"/>
  <c r="O83" i="4"/>
  <c r="O74" i="4"/>
  <c r="O62" i="4"/>
  <c r="O52" i="4"/>
  <c r="O51" i="4"/>
  <c r="O50" i="4"/>
  <c r="O48" i="4"/>
  <c r="O47" i="4"/>
  <c r="O40" i="4"/>
  <c r="O36" i="4"/>
  <c r="O35" i="4"/>
  <c r="O34" i="4"/>
  <c r="O28" i="4"/>
  <c r="O9" i="4"/>
  <c r="O8" i="4"/>
  <c r="O7" i="4"/>
  <c r="N492" i="4"/>
  <c r="N29" i="4" s="1"/>
  <c r="N463" i="4"/>
  <c r="N475" i="4" s="1"/>
  <c r="N26" i="4" s="1"/>
  <c r="N454" i="4"/>
  <c r="N450" i="4"/>
  <c r="N442" i="4"/>
  <c r="N419" i="4"/>
  <c r="N423" i="4" s="1"/>
  <c r="N402" i="4"/>
  <c r="N19" i="4" s="1"/>
  <c r="N395" i="4"/>
  <c r="N20" i="4" s="1"/>
  <c r="N388" i="4"/>
  <c r="N18" i="4" s="1"/>
  <c r="N377" i="4"/>
  <c r="N364" i="4"/>
  <c r="N349" i="4"/>
  <c r="N339" i="4"/>
  <c r="N323" i="4"/>
  <c r="N314" i="4"/>
  <c r="N307" i="4"/>
  <c r="N286" i="4"/>
  <c r="N274" i="4"/>
  <c r="N259" i="4"/>
  <c r="N246" i="4"/>
  <c r="N236" i="4"/>
  <c r="N231" i="4"/>
  <c r="N223" i="4"/>
  <c r="N46" i="4" s="1"/>
  <c r="N214" i="4"/>
  <c r="N210" i="4"/>
  <c r="N206" i="4"/>
  <c r="N202" i="4"/>
  <c r="N198" i="4"/>
  <c r="N189" i="4"/>
  <c r="N186" i="4"/>
  <c r="N178" i="4"/>
  <c r="N169" i="4"/>
  <c r="N165" i="4"/>
  <c r="N157" i="4"/>
  <c r="N142" i="4"/>
  <c r="N124" i="4"/>
  <c r="N104" i="4"/>
  <c r="N94" i="4"/>
  <c r="N83" i="4"/>
  <c r="N74" i="4"/>
  <c r="N62" i="4"/>
  <c r="N52" i="4"/>
  <c r="N51" i="4"/>
  <c r="N50" i="4"/>
  <c r="N48" i="4"/>
  <c r="N47" i="4"/>
  <c r="N40" i="4"/>
  <c r="N36" i="4"/>
  <c r="N35" i="4"/>
  <c r="N34" i="4"/>
  <c r="N28" i="4"/>
  <c r="N9" i="4"/>
  <c r="N8" i="4"/>
  <c r="N7" i="4"/>
  <c r="M492" i="4"/>
  <c r="M29" i="4" s="1"/>
  <c r="M463" i="4"/>
  <c r="M475" i="4" s="1"/>
  <c r="M26" i="4" s="1"/>
  <c r="M454" i="4"/>
  <c r="M450" i="4"/>
  <c r="M442" i="4"/>
  <c r="M432" i="4"/>
  <c r="M419" i="4"/>
  <c r="M423" i="4" s="1"/>
  <c r="M402" i="4"/>
  <c r="M19" i="4" s="1"/>
  <c r="M395" i="4"/>
  <c r="M20" i="4" s="1"/>
  <c r="M388" i="4"/>
  <c r="M18" i="4" s="1"/>
  <c r="M377" i="4"/>
  <c r="M364" i="4"/>
  <c r="M349" i="4"/>
  <c r="M339" i="4"/>
  <c r="M323" i="4"/>
  <c r="M314" i="4"/>
  <c r="M307" i="4"/>
  <c r="M286" i="4"/>
  <c r="M274" i="4"/>
  <c r="M259" i="4"/>
  <c r="M11" i="4" s="1"/>
  <c r="M246" i="4"/>
  <c r="M236" i="4"/>
  <c r="M231" i="4"/>
  <c r="M223" i="4"/>
  <c r="M46" i="4" s="1"/>
  <c r="M214" i="4"/>
  <c r="M210" i="4"/>
  <c r="M206" i="4"/>
  <c r="M202" i="4"/>
  <c r="M198" i="4"/>
  <c r="M189" i="4"/>
  <c r="M186" i="4"/>
  <c r="M178" i="4"/>
  <c r="M169" i="4"/>
  <c r="M165" i="4"/>
  <c r="M157" i="4"/>
  <c r="M142" i="4"/>
  <c r="M124" i="4"/>
  <c r="M104" i="4"/>
  <c r="M94" i="4"/>
  <c r="M83" i="4"/>
  <c r="M74" i="4"/>
  <c r="M62" i="4"/>
  <c r="M52" i="4"/>
  <c r="M51" i="4"/>
  <c r="M50" i="4"/>
  <c r="M48" i="4"/>
  <c r="M47" i="4"/>
  <c r="M40" i="4"/>
  <c r="M36" i="4"/>
  <c r="M35" i="4"/>
  <c r="M34" i="4"/>
  <c r="M28" i="4"/>
  <c r="M9" i="4"/>
  <c r="M8" i="4"/>
  <c r="M7" i="4"/>
  <c r="S492" i="4"/>
  <c r="S29" i="4" s="1"/>
  <c r="S463" i="4"/>
  <c r="S475" i="4" s="1"/>
  <c r="S26" i="4" s="1"/>
  <c r="S454" i="4"/>
  <c r="S450" i="4"/>
  <c r="S442" i="4"/>
  <c r="S419" i="4"/>
  <c r="S423" i="4" s="1"/>
  <c r="S402" i="4"/>
  <c r="S19" i="4" s="1"/>
  <c r="S395" i="4"/>
  <c r="S388" i="4"/>
  <c r="S18" i="4" s="1"/>
  <c r="S377" i="4"/>
  <c r="S364" i="4"/>
  <c r="S349" i="4"/>
  <c r="S339" i="4"/>
  <c r="S323" i="4"/>
  <c r="S314" i="4"/>
  <c r="S307" i="4"/>
  <c r="S286" i="4"/>
  <c r="S274" i="4"/>
  <c r="S259" i="4"/>
  <c r="S11" i="4" s="1"/>
  <c r="S246" i="4"/>
  <c r="S236" i="4"/>
  <c r="S231" i="4"/>
  <c r="S223" i="4"/>
  <c r="S214" i="4"/>
  <c r="S210" i="4"/>
  <c r="S206" i="4"/>
  <c r="S202" i="4"/>
  <c r="S198" i="4"/>
  <c r="S189" i="4"/>
  <c r="S186" i="4"/>
  <c r="S178" i="4"/>
  <c r="S169" i="4"/>
  <c r="S165" i="4"/>
  <c r="S157" i="4"/>
  <c r="S142" i="4"/>
  <c r="S124" i="4"/>
  <c r="S104" i="4"/>
  <c r="S94" i="4"/>
  <c r="S83" i="4"/>
  <c r="S74" i="4"/>
  <c r="S62" i="4"/>
  <c r="S52" i="4"/>
  <c r="S51" i="4"/>
  <c r="S50" i="4"/>
  <c r="S48" i="4"/>
  <c r="S47" i="4"/>
  <c r="S46" i="4"/>
  <c r="S40" i="4"/>
  <c r="S36" i="4"/>
  <c r="S35" i="4"/>
  <c r="S34" i="4"/>
  <c r="S28" i="4"/>
  <c r="S9" i="4"/>
  <c r="S8" i="4"/>
  <c r="S7" i="4"/>
  <c r="C499" i="4"/>
  <c r="C500" i="4"/>
  <c r="C478" i="4"/>
  <c r="F494" i="1" s="1"/>
  <c r="C479" i="4"/>
  <c r="F495" i="1" s="1"/>
  <c r="C480" i="4"/>
  <c r="F496" i="1" s="1"/>
  <c r="C481" i="4"/>
  <c r="C482" i="4"/>
  <c r="C483" i="4"/>
  <c r="C484" i="4"/>
  <c r="C485" i="4"/>
  <c r="C486" i="4"/>
  <c r="C487" i="4"/>
  <c r="C488" i="4"/>
  <c r="C489" i="4"/>
  <c r="C490" i="4"/>
  <c r="C491" i="4"/>
  <c r="C477" i="4"/>
  <c r="C466" i="4"/>
  <c r="C467" i="4"/>
  <c r="C468" i="4"/>
  <c r="C469" i="4"/>
  <c r="C470" i="4"/>
  <c r="C471" i="4"/>
  <c r="C472" i="4"/>
  <c r="C473" i="4"/>
  <c r="C474" i="4"/>
  <c r="C461" i="4"/>
  <c r="C460" i="4"/>
  <c r="C453" i="4"/>
  <c r="C449" i="4"/>
  <c r="C448" i="4"/>
  <c r="C447" i="4"/>
  <c r="C446" i="4"/>
  <c r="C445" i="4"/>
  <c r="C422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1" i="4"/>
  <c r="C400" i="4"/>
  <c r="C399" i="4"/>
  <c r="C398" i="4"/>
  <c r="C394" i="4"/>
  <c r="C393" i="4"/>
  <c r="C392" i="4"/>
  <c r="C391" i="4"/>
  <c r="C383" i="4"/>
  <c r="C384" i="4"/>
  <c r="C385" i="4"/>
  <c r="C386" i="4"/>
  <c r="C387" i="4"/>
  <c r="F401" i="1" s="1"/>
  <c r="G401" i="1" s="1"/>
  <c r="C382" i="4"/>
  <c r="C367" i="4"/>
  <c r="C368" i="4"/>
  <c r="C369" i="4"/>
  <c r="C370" i="4"/>
  <c r="C371" i="4"/>
  <c r="C372" i="4"/>
  <c r="C373" i="4"/>
  <c r="C374" i="4"/>
  <c r="C375" i="4"/>
  <c r="C376" i="4"/>
  <c r="C366" i="4"/>
  <c r="C355" i="4"/>
  <c r="C356" i="4"/>
  <c r="C357" i="4"/>
  <c r="C358" i="4"/>
  <c r="C359" i="4"/>
  <c r="C360" i="4"/>
  <c r="C361" i="4"/>
  <c r="C362" i="4"/>
  <c r="C363" i="4"/>
  <c r="C354" i="4"/>
  <c r="C343" i="4"/>
  <c r="C344" i="4"/>
  <c r="C345" i="4"/>
  <c r="C346" i="4"/>
  <c r="C347" i="4"/>
  <c r="C348" i="4"/>
  <c r="C342" i="4"/>
  <c r="C329" i="4"/>
  <c r="C330" i="4"/>
  <c r="C331" i="4"/>
  <c r="C332" i="4"/>
  <c r="C333" i="4"/>
  <c r="C334" i="4"/>
  <c r="C335" i="4"/>
  <c r="C336" i="4"/>
  <c r="C337" i="4"/>
  <c r="C338" i="4"/>
  <c r="C328" i="4"/>
  <c r="C320" i="4"/>
  <c r="C321" i="4"/>
  <c r="C322" i="4"/>
  <c r="C319" i="4"/>
  <c r="C310" i="4"/>
  <c r="C311" i="4"/>
  <c r="C312" i="4"/>
  <c r="C313" i="4"/>
  <c r="C309" i="4"/>
  <c r="C295" i="4"/>
  <c r="C297" i="4"/>
  <c r="C298" i="4"/>
  <c r="C299" i="4"/>
  <c r="C300" i="4"/>
  <c r="C301" i="4"/>
  <c r="C302" i="4"/>
  <c r="C303" i="4"/>
  <c r="C304" i="4"/>
  <c r="C305" i="4"/>
  <c r="C306" i="4"/>
  <c r="C294" i="4"/>
  <c r="C278" i="4"/>
  <c r="C279" i="4"/>
  <c r="F292" i="1" s="1"/>
  <c r="C280" i="4"/>
  <c r="F293" i="1" s="1"/>
  <c r="G293" i="1" s="1"/>
  <c r="C281" i="4"/>
  <c r="F294" i="1" s="1"/>
  <c r="C282" i="4"/>
  <c r="F295" i="1" s="1"/>
  <c r="C283" i="4"/>
  <c r="F296" i="1" s="1"/>
  <c r="C284" i="4"/>
  <c r="F297" i="1" s="1"/>
  <c r="C285" i="4"/>
  <c r="F298" i="1" s="1"/>
  <c r="C277" i="4"/>
  <c r="C266" i="4"/>
  <c r="C267" i="4"/>
  <c r="C268" i="4"/>
  <c r="C269" i="4"/>
  <c r="C270" i="4"/>
  <c r="C271" i="4"/>
  <c r="C272" i="4"/>
  <c r="C273" i="4"/>
  <c r="C265" i="4"/>
  <c r="C263" i="4"/>
  <c r="C262" i="4"/>
  <c r="C257" i="4"/>
  <c r="C256" i="4"/>
  <c r="C252" i="4"/>
  <c r="C253" i="4"/>
  <c r="C241" i="4"/>
  <c r="C242" i="4"/>
  <c r="C243" i="4"/>
  <c r="C244" i="4"/>
  <c r="C245" i="4"/>
  <c r="C240" i="4"/>
  <c r="C235" i="4"/>
  <c r="C234" i="4"/>
  <c r="C230" i="4"/>
  <c r="C229" i="4"/>
  <c r="C228" i="4"/>
  <c r="C227" i="4"/>
  <c r="C226" i="4"/>
  <c r="C222" i="4"/>
  <c r="C221" i="4"/>
  <c r="C220" i="4"/>
  <c r="C219" i="4"/>
  <c r="C213" i="4"/>
  <c r="C212" i="4"/>
  <c r="C209" i="4"/>
  <c r="C208" i="4"/>
  <c r="C205" i="4"/>
  <c r="C204" i="4"/>
  <c r="C201" i="4"/>
  <c r="C200" i="4"/>
  <c r="C197" i="4"/>
  <c r="C196" i="4"/>
  <c r="C188" i="4"/>
  <c r="C182" i="4"/>
  <c r="C183" i="4"/>
  <c r="C184" i="4"/>
  <c r="C185" i="4"/>
  <c r="C181" i="4"/>
  <c r="C176" i="4"/>
  <c r="C177" i="4"/>
  <c r="C168" i="4"/>
  <c r="C167" i="4"/>
  <c r="C164" i="4"/>
  <c r="C163" i="4"/>
  <c r="C162" i="4"/>
  <c r="C161" i="4"/>
  <c r="C160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3" i="4"/>
  <c r="C122" i="4"/>
  <c r="C121" i="4"/>
  <c r="C120" i="4"/>
  <c r="C119" i="4"/>
  <c r="C118" i="4"/>
  <c r="C115" i="4"/>
  <c r="C114" i="4"/>
  <c r="C113" i="4"/>
  <c r="C103" i="4"/>
  <c r="C102" i="4"/>
  <c r="C101" i="4"/>
  <c r="C100" i="4"/>
  <c r="C99" i="4"/>
  <c r="C98" i="4"/>
  <c r="C97" i="4"/>
  <c r="C93" i="4"/>
  <c r="C92" i="4"/>
  <c r="C91" i="4"/>
  <c r="C90" i="4"/>
  <c r="C89" i="4"/>
  <c r="C88" i="4"/>
  <c r="C87" i="4"/>
  <c r="C86" i="4"/>
  <c r="C82" i="4"/>
  <c r="C81" i="4"/>
  <c r="C80" i="4"/>
  <c r="C79" i="4"/>
  <c r="C78" i="4"/>
  <c r="C77" i="4"/>
  <c r="C73" i="4"/>
  <c r="C66" i="4"/>
  <c r="C61" i="4"/>
  <c r="C60" i="4"/>
  <c r="C22" i="4"/>
  <c r="J492" i="4"/>
  <c r="J29" i="4" s="1"/>
  <c r="J463" i="4"/>
  <c r="J475" i="4" s="1"/>
  <c r="J26" i="4" s="1"/>
  <c r="J454" i="4"/>
  <c r="J450" i="4"/>
  <c r="J442" i="4"/>
  <c r="J419" i="4"/>
  <c r="J423" i="4" s="1"/>
  <c r="J402" i="4"/>
  <c r="J19" i="4" s="1"/>
  <c r="J395" i="4"/>
  <c r="J20" i="4" s="1"/>
  <c r="J388" i="4"/>
  <c r="J377" i="4"/>
  <c r="J364" i="4"/>
  <c r="J349" i="4"/>
  <c r="J339" i="4"/>
  <c r="J323" i="4"/>
  <c r="J314" i="4"/>
  <c r="J307" i="4"/>
  <c r="J286" i="4"/>
  <c r="J274" i="4"/>
  <c r="J259" i="4"/>
  <c r="J11" i="4" s="1"/>
  <c r="J246" i="4"/>
  <c r="J236" i="4"/>
  <c r="J231" i="4"/>
  <c r="J223" i="4"/>
  <c r="J214" i="4"/>
  <c r="J210" i="4"/>
  <c r="J206" i="4"/>
  <c r="J202" i="4"/>
  <c r="J198" i="4"/>
  <c r="J189" i="4"/>
  <c r="J186" i="4"/>
  <c r="J178" i="4"/>
  <c r="J169" i="4"/>
  <c r="J165" i="4"/>
  <c r="J157" i="4"/>
  <c r="J142" i="4"/>
  <c r="J124" i="4"/>
  <c r="J104" i="4"/>
  <c r="J94" i="4"/>
  <c r="J83" i="4"/>
  <c r="J74" i="4"/>
  <c r="J62" i="4"/>
  <c r="J52" i="4"/>
  <c r="J51" i="4"/>
  <c r="J50" i="4"/>
  <c r="J48" i="4"/>
  <c r="J47" i="4"/>
  <c r="J46" i="4"/>
  <c r="J40" i="4"/>
  <c r="J36" i="4"/>
  <c r="J35" i="4"/>
  <c r="J28" i="4"/>
  <c r="J9" i="4"/>
  <c r="J8" i="4"/>
  <c r="J7" i="4"/>
  <c r="I492" i="4"/>
  <c r="I29" i="4" s="1"/>
  <c r="I463" i="4"/>
  <c r="I454" i="4"/>
  <c r="I450" i="4"/>
  <c r="I442" i="4"/>
  <c r="I419" i="4"/>
  <c r="I423" i="4" s="1"/>
  <c r="I402" i="4"/>
  <c r="I19" i="4" s="1"/>
  <c r="I395" i="4"/>
  <c r="I20" i="4" s="1"/>
  <c r="I388" i="4"/>
  <c r="I18" i="4" s="1"/>
  <c r="I377" i="4"/>
  <c r="I364" i="4"/>
  <c r="I349" i="4"/>
  <c r="I339" i="4"/>
  <c r="I323" i="4"/>
  <c r="I314" i="4"/>
  <c r="I307" i="4"/>
  <c r="I286" i="4"/>
  <c r="I274" i="4"/>
  <c r="I259" i="4"/>
  <c r="I11" i="4" s="1"/>
  <c r="I246" i="4"/>
  <c r="I236" i="4"/>
  <c r="I231" i="4"/>
  <c r="I223" i="4"/>
  <c r="I46" i="4" s="1"/>
  <c r="I214" i="4"/>
  <c r="I210" i="4"/>
  <c r="I206" i="4"/>
  <c r="I202" i="4"/>
  <c r="I198" i="4"/>
  <c r="I189" i="4"/>
  <c r="I186" i="4"/>
  <c r="I178" i="4"/>
  <c r="I169" i="4"/>
  <c r="I165" i="4"/>
  <c r="I157" i="4"/>
  <c r="I142" i="4"/>
  <c r="I124" i="4"/>
  <c r="I104" i="4"/>
  <c r="I94" i="4"/>
  <c r="I83" i="4"/>
  <c r="I74" i="4"/>
  <c r="I62" i="4"/>
  <c r="I52" i="4"/>
  <c r="I51" i="4"/>
  <c r="I50" i="4"/>
  <c r="I48" i="4"/>
  <c r="I47" i="4"/>
  <c r="I40" i="4"/>
  <c r="I36" i="4"/>
  <c r="I35" i="4"/>
  <c r="I34" i="4"/>
  <c r="I28" i="4"/>
  <c r="I9" i="4"/>
  <c r="I8" i="4"/>
  <c r="I7" i="4"/>
  <c r="Q492" i="4"/>
  <c r="Q29" i="4" s="1"/>
  <c r="P492" i="4"/>
  <c r="P29" i="4" s="1"/>
  <c r="Q463" i="4"/>
  <c r="Q475" i="4" s="1"/>
  <c r="Q26" i="4" s="1"/>
  <c r="P463" i="4"/>
  <c r="P475" i="4" s="1"/>
  <c r="P26" i="4" s="1"/>
  <c r="Q454" i="4"/>
  <c r="P454" i="4"/>
  <c r="Q450" i="4"/>
  <c r="P450" i="4"/>
  <c r="Q442" i="4"/>
  <c r="P442" i="4"/>
  <c r="Q419" i="4"/>
  <c r="Q423" i="4" s="1"/>
  <c r="P419" i="4"/>
  <c r="P423" i="4" s="1"/>
  <c r="P432" i="4" s="1"/>
  <c r="Q402" i="4"/>
  <c r="Q19" i="4" s="1"/>
  <c r="P402" i="4"/>
  <c r="P19" i="4" s="1"/>
  <c r="Q395" i="4"/>
  <c r="P395" i="4"/>
  <c r="P20" i="4" s="1"/>
  <c r="Q388" i="4"/>
  <c r="Q18" i="4" s="1"/>
  <c r="P388" i="4"/>
  <c r="Q377" i="4"/>
  <c r="P377" i="4"/>
  <c r="Q364" i="4"/>
  <c r="P364" i="4"/>
  <c r="Q349" i="4"/>
  <c r="P349" i="4"/>
  <c r="Q339" i="4"/>
  <c r="P339" i="4"/>
  <c r="Q323" i="4"/>
  <c r="P323" i="4"/>
  <c r="Q314" i="4"/>
  <c r="P314" i="4"/>
  <c r="Q307" i="4"/>
  <c r="Q286" i="4"/>
  <c r="P286" i="4"/>
  <c r="Q274" i="4"/>
  <c r="P274" i="4"/>
  <c r="Q259" i="4"/>
  <c r="Q11" i="4" s="1"/>
  <c r="P259" i="4"/>
  <c r="P11" i="4" s="1"/>
  <c r="Q246" i="4"/>
  <c r="P246" i="4"/>
  <c r="Q236" i="4"/>
  <c r="P236" i="4"/>
  <c r="Q231" i="4"/>
  <c r="P231" i="4"/>
  <c r="Q223" i="4"/>
  <c r="P223" i="4"/>
  <c r="P46" i="4" s="1"/>
  <c r="Q214" i="4"/>
  <c r="P214" i="4"/>
  <c r="Q210" i="4"/>
  <c r="P210" i="4"/>
  <c r="Q206" i="4"/>
  <c r="P206" i="4"/>
  <c r="Q202" i="4"/>
  <c r="P202" i="4"/>
  <c r="Q198" i="4"/>
  <c r="P198" i="4"/>
  <c r="Q189" i="4"/>
  <c r="P189" i="4"/>
  <c r="Q186" i="4"/>
  <c r="P186" i="4"/>
  <c r="Q178" i="4"/>
  <c r="P178" i="4"/>
  <c r="Q169" i="4"/>
  <c r="P169" i="4"/>
  <c r="Q165" i="4"/>
  <c r="P165" i="4"/>
  <c r="Q157" i="4"/>
  <c r="P157" i="4"/>
  <c r="Q142" i="4"/>
  <c r="P142" i="4"/>
  <c r="Q124" i="4"/>
  <c r="P124" i="4"/>
  <c r="Q104" i="4"/>
  <c r="P104" i="4"/>
  <c r="Q94" i="4"/>
  <c r="P94" i="4"/>
  <c r="Q83" i="4"/>
  <c r="P83" i="4"/>
  <c r="Q74" i="4"/>
  <c r="P74" i="4"/>
  <c r="Q62" i="4"/>
  <c r="P62" i="4"/>
  <c r="Q52" i="4"/>
  <c r="P52" i="4"/>
  <c r="Q51" i="4"/>
  <c r="P51" i="4"/>
  <c r="Q50" i="4"/>
  <c r="P50" i="4"/>
  <c r="Q48" i="4"/>
  <c r="P48" i="4"/>
  <c r="Q47" i="4"/>
  <c r="P47" i="4"/>
  <c r="Q46" i="4"/>
  <c r="Q40" i="4"/>
  <c r="P40" i="4"/>
  <c r="Q36" i="4"/>
  <c r="P36" i="4"/>
  <c r="Q35" i="4"/>
  <c r="P35" i="4"/>
  <c r="Q34" i="4"/>
  <c r="P34" i="4"/>
  <c r="Q28" i="4"/>
  <c r="P28" i="4"/>
  <c r="Q9" i="4"/>
  <c r="P9" i="4"/>
  <c r="Q8" i="4"/>
  <c r="P8" i="4"/>
  <c r="H492" i="4"/>
  <c r="H29" i="4" s="1"/>
  <c r="H463" i="4"/>
  <c r="H475" i="4" s="1"/>
  <c r="H26" i="4" s="1"/>
  <c r="H454" i="4"/>
  <c r="H450" i="4"/>
  <c r="H442" i="4"/>
  <c r="H419" i="4"/>
  <c r="H423" i="4" s="1"/>
  <c r="H402" i="4"/>
  <c r="H19" i="4" s="1"/>
  <c r="H395" i="4"/>
  <c r="H20" i="4" s="1"/>
  <c r="H388" i="4"/>
  <c r="H18" i="4" s="1"/>
  <c r="H377" i="4"/>
  <c r="H364" i="4"/>
  <c r="H349" i="4"/>
  <c r="H339" i="4"/>
  <c r="H323" i="4"/>
  <c r="H314" i="4"/>
  <c r="H286" i="4"/>
  <c r="H274" i="4"/>
  <c r="H259" i="4"/>
  <c r="H11" i="4" s="1"/>
  <c r="H246" i="4"/>
  <c r="H236" i="4"/>
  <c r="H231" i="4"/>
  <c r="H223" i="4"/>
  <c r="H214" i="4"/>
  <c r="H210" i="4"/>
  <c r="H206" i="4"/>
  <c r="H202" i="4"/>
  <c r="H198" i="4"/>
  <c r="H189" i="4"/>
  <c r="H186" i="4"/>
  <c r="H178" i="4"/>
  <c r="H169" i="4"/>
  <c r="H165" i="4"/>
  <c r="H157" i="4"/>
  <c r="H142" i="4"/>
  <c r="H124" i="4"/>
  <c r="H104" i="4"/>
  <c r="H94" i="4"/>
  <c r="H83" i="4"/>
  <c r="H74" i="4"/>
  <c r="H62" i="4"/>
  <c r="H52" i="4"/>
  <c r="H51" i="4"/>
  <c r="H50" i="4"/>
  <c r="H48" i="4"/>
  <c r="H47" i="4"/>
  <c r="H46" i="4"/>
  <c r="H40" i="4"/>
  <c r="H36" i="4"/>
  <c r="H35" i="4"/>
  <c r="H34" i="4"/>
  <c r="H28" i="4"/>
  <c r="H9" i="4"/>
  <c r="H8" i="4"/>
  <c r="H7" i="4"/>
  <c r="D492" i="4"/>
  <c r="D29" i="4" s="1"/>
  <c r="D463" i="4"/>
  <c r="D475" i="4" s="1"/>
  <c r="D26" i="4" s="1"/>
  <c r="D454" i="4"/>
  <c r="D450" i="4"/>
  <c r="D442" i="4"/>
  <c r="D419" i="4"/>
  <c r="D423" i="4" s="1"/>
  <c r="D402" i="4"/>
  <c r="D19" i="4" s="1"/>
  <c r="D395" i="4"/>
  <c r="D20" i="4" s="1"/>
  <c r="D388" i="4"/>
  <c r="D18" i="4" s="1"/>
  <c r="D377" i="4"/>
  <c r="D364" i="4"/>
  <c r="D349" i="4"/>
  <c r="D339" i="4"/>
  <c r="D323" i="4"/>
  <c r="D314" i="4"/>
  <c r="D286" i="4"/>
  <c r="D274" i="4"/>
  <c r="D259" i="4"/>
  <c r="D246" i="4"/>
  <c r="D236" i="4"/>
  <c r="D231" i="4"/>
  <c r="D223" i="4"/>
  <c r="D46" i="4" s="1"/>
  <c r="D214" i="4"/>
  <c r="D210" i="4"/>
  <c r="D206" i="4"/>
  <c r="D202" i="4"/>
  <c r="D198" i="4"/>
  <c r="D189" i="4"/>
  <c r="D186" i="4"/>
  <c r="D178" i="4"/>
  <c r="D169" i="4"/>
  <c r="D165" i="4"/>
  <c r="D157" i="4"/>
  <c r="D142" i="4"/>
  <c r="D124" i="4"/>
  <c r="D104" i="4"/>
  <c r="D94" i="4"/>
  <c r="D83" i="4"/>
  <c r="D74" i="4"/>
  <c r="D62" i="4"/>
  <c r="D52" i="4"/>
  <c r="D51" i="4"/>
  <c r="D50" i="4"/>
  <c r="D48" i="4"/>
  <c r="D47" i="4"/>
  <c r="D40" i="4"/>
  <c r="D36" i="4"/>
  <c r="D35" i="4"/>
  <c r="D34" i="4"/>
  <c r="D28" i="4"/>
  <c r="D9" i="4"/>
  <c r="D8" i="4"/>
  <c r="D7" i="4"/>
  <c r="D2" i="4"/>
  <c r="E2" i="4" s="1"/>
  <c r="F2" i="4" s="1"/>
  <c r="G2" i="4" s="1"/>
  <c r="H2" i="4" s="1"/>
  <c r="R492" i="4"/>
  <c r="R29" i="4" s="1"/>
  <c r="R463" i="4"/>
  <c r="R475" i="4" s="1"/>
  <c r="R26" i="4" s="1"/>
  <c r="R454" i="4"/>
  <c r="R450" i="4"/>
  <c r="R442" i="4"/>
  <c r="R419" i="4"/>
  <c r="R423" i="4" s="1"/>
  <c r="R402" i="4"/>
  <c r="R19" i="4" s="1"/>
  <c r="R395" i="4"/>
  <c r="R388" i="4"/>
  <c r="R18" i="4" s="1"/>
  <c r="R377" i="4"/>
  <c r="R364" i="4"/>
  <c r="R349" i="4"/>
  <c r="R339" i="4"/>
  <c r="R323" i="4"/>
  <c r="R314" i="4"/>
  <c r="R286" i="4"/>
  <c r="R274" i="4"/>
  <c r="R259" i="4"/>
  <c r="R11" i="4" s="1"/>
  <c r="R246" i="4"/>
  <c r="R236" i="4"/>
  <c r="R231" i="4"/>
  <c r="R223" i="4"/>
  <c r="R214" i="4"/>
  <c r="R210" i="4"/>
  <c r="R206" i="4"/>
  <c r="R202" i="4"/>
  <c r="R198" i="4"/>
  <c r="R189" i="4"/>
  <c r="R186" i="4"/>
  <c r="R178" i="4"/>
  <c r="R169" i="4"/>
  <c r="R165" i="4"/>
  <c r="R157" i="4"/>
  <c r="R142" i="4"/>
  <c r="R124" i="4"/>
  <c r="R104" i="4"/>
  <c r="R94" i="4"/>
  <c r="R83" i="4"/>
  <c r="R74" i="4"/>
  <c r="R62" i="4"/>
  <c r="R52" i="4"/>
  <c r="R51" i="4"/>
  <c r="R50" i="4"/>
  <c r="R48" i="4"/>
  <c r="R47" i="4"/>
  <c r="R46" i="4"/>
  <c r="R40" i="4"/>
  <c r="R36" i="4"/>
  <c r="R35" i="4"/>
  <c r="R34" i="4"/>
  <c r="R28" i="4"/>
  <c r="R9" i="4"/>
  <c r="R8" i="4"/>
  <c r="R7" i="4"/>
  <c r="AL106" i="4" l="1"/>
  <c r="BD106" i="4"/>
  <c r="BD171" i="4" s="1"/>
  <c r="AT106" i="4"/>
  <c r="N106" i="4"/>
  <c r="N171" i="4" s="1"/>
  <c r="X106" i="4"/>
  <c r="AH106" i="4"/>
  <c r="AH171" i="4" s="1"/>
  <c r="Q106" i="4"/>
  <c r="Q171" i="4" s="1"/>
  <c r="Z106" i="4"/>
  <c r="Z171" i="4" s="1"/>
  <c r="Y106" i="4"/>
  <c r="I2" i="4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AE2" i="4" s="1"/>
  <c r="AF2" i="4" s="1"/>
  <c r="AG2" i="4" s="1"/>
  <c r="AH2" i="4" s="1"/>
  <c r="AK2" i="4" s="1"/>
  <c r="AL2" i="4" s="1"/>
  <c r="AM2" i="4" s="1"/>
  <c r="AN2" i="4" s="1"/>
  <c r="AO2" i="4" s="1"/>
  <c r="AP2" i="4" s="1"/>
  <c r="AQ2" i="4" s="1"/>
  <c r="AR2" i="4" s="1"/>
  <c r="AS2" i="4" s="1"/>
  <c r="AT2" i="4" s="1"/>
  <c r="AU2" i="4" s="1"/>
  <c r="H106" i="4"/>
  <c r="H171" i="4" s="1"/>
  <c r="T106" i="4"/>
  <c r="T171" i="4" s="1"/>
  <c r="T43" i="4" s="1"/>
  <c r="AP106" i="4"/>
  <c r="AP171" i="4" s="1"/>
  <c r="D106" i="4"/>
  <c r="D171" i="4" s="1"/>
  <c r="P106" i="4"/>
  <c r="P171" i="4" s="1"/>
  <c r="P43" i="4" s="1"/>
  <c r="J106" i="4"/>
  <c r="J171" i="4" s="1"/>
  <c r="N288" i="4"/>
  <c r="V106" i="4"/>
  <c r="V171" i="4" s="1"/>
  <c r="V43" i="4" s="1"/>
  <c r="X171" i="4"/>
  <c r="AI106" i="4"/>
  <c r="AI171" i="4" s="1"/>
  <c r="AB106" i="4"/>
  <c r="AL171" i="4"/>
  <c r="AN106" i="4"/>
  <c r="AN171" i="4" s="1"/>
  <c r="AN43" i="4" s="1"/>
  <c r="BA106" i="4"/>
  <c r="AS106" i="4"/>
  <c r="BC106" i="4"/>
  <c r="BC171" i="4" s="1"/>
  <c r="AT171" i="4"/>
  <c r="AT43" i="4" s="1"/>
  <c r="I475" i="4"/>
  <c r="I26" i="4" s="1"/>
  <c r="R106" i="4"/>
  <c r="R171" i="4" s="1"/>
  <c r="I106" i="4"/>
  <c r="I171" i="4" s="1"/>
  <c r="M106" i="4"/>
  <c r="M171" i="4" s="1"/>
  <c r="AE106" i="4"/>
  <c r="AE171" i="4" s="1"/>
  <c r="AX106" i="4"/>
  <c r="AX171" i="4" s="1"/>
  <c r="AO106" i="4"/>
  <c r="AO171" i="4" s="1"/>
  <c r="AQ106" i="4"/>
  <c r="AQ171" i="4" s="1"/>
  <c r="AR106" i="4"/>
  <c r="AR171" i="4" s="1"/>
  <c r="BE106" i="4"/>
  <c r="BE171" i="4" s="1"/>
  <c r="S106" i="4"/>
  <c r="S171" i="4" s="1"/>
  <c r="O106" i="4"/>
  <c r="O171" i="4" s="1"/>
  <c r="U106" i="4"/>
  <c r="U171" i="4" s="1"/>
  <c r="W106" i="4"/>
  <c r="W171" i="4" s="1"/>
  <c r="Y171" i="4"/>
  <c r="Y43" i="4" s="1"/>
  <c r="AA106" i="4"/>
  <c r="AA171" i="4" s="1"/>
  <c r="AB171" i="4"/>
  <c r="AK106" i="4"/>
  <c r="AK171" i="4" s="1"/>
  <c r="AY106" i="4"/>
  <c r="AY171" i="4" s="1"/>
  <c r="AZ106" i="4"/>
  <c r="AZ171" i="4" s="1"/>
  <c r="AM106" i="4"/>
  <c r="AM171" i="4" s="1"/>
  <c r="AM43" i="4" s="1"/>
  <c r="BA171" i="4"/>
  <c r="BA43" i="4" s="1"/>
  <c r="BB106" i="4"/>
  <c r="BB171" i="4" s="1"/>
  <c r="AS171" i="4"/>
  <c r="AU106" i="4"/>
  <c r="AU171" i="4" s="1"/>
  <c r="C104" i="4"/>
  <c r="AI423" i="4"/>
  <c r="AI432" i="4" s="1"/>
  <c r="M288" i="4"/>
  <c r="M10" i="4" s="1"/>
  <c r="M12" i="4" s="1"/>
  <c r="AP290" i="4"/>
  <c r="AP11" i="4"/>
  <c r="D11" i="4"/>
  <c r="BF33" i="4"/>
  <c r="BF37" i="4" s="1"/>
  <c r="BF39" i="4" s="1"/>
  <c r="BF41" i="4" s="1"/>
  <c r="AS37" i="4"/>
  <c r="AU431" i="4"/>
  <c r="AU456" i="4"/>
  <c r="AU25" i="4" s="1"/>
  <c r="C307" i="4"/>
  <c r="AT288" i="4"/>
  <c r="AT10" i="4" s="1"/>
  <c r="AT12" i="4" s="1"/>
  <c r="AT456" i="4"/>
  <c r="AT25" i="4" s="1"/>
  <c r="AU191" i="4"/>
  <c r="AU351" i="4"/>
  <c r="AU16" i="4" s="1"/>
  <c r="AU288" i="4"/>
  <c r="AU10" i="4" s="1"/>
  <c r="AU12" i="4" s="1"/>
  <c r="AU379" i="4"/>
  <c r="AU17" i="4" s="1"/>
  <c r="AT379" i="4"/>
  <c r="AT17" i="4" s="1"/>
  <c r="AU21" i="4"/>
  <c r="AU216" i="4"/>
  <c r="AU429" i="4"/>
  <c r="BC288" i="4"/>
  <c r="BC10" i="4" s="1"/>
  <c r="BC12" i="4" s="1"/>
  <c r="AU316" i="4"/>
  <c r="AU428" i="4" s="1"/>
  <c r="AT216" i="4"/>
  <c r="AT351" i="4"/>
  <c r="AT16" i="4" s="1"/>
  <c r="AU18" i="4"/>
  <c r="AU44" i="4"/>
  <c r="BC44" i="4"/>
  <c r="BD191" i="4"/>
  <c r="BC216" i="4"/>
  <c r="BE288" i="4"/>
  <c r="BE10" i="4" s="1"/>
  <c r="BE12" i="4" s="1"/>
  <c r="BC316" i="4"/>
  <c r="BC428" i="4" s="1"/>
  <c r="BA379" i="4"/>
  <c r="BA430" i="4" s="1"/>
  <c r="BD288" i="4"/>
  <c r="BD10" i="4" s="1"/>
  <c r="BD351" i="4"/>
  <c r="BD16" i="4" s="1"/>
  <c r="AT429" i="4"/>
  <c r="BD316" i="4"/>
  <c r="BD428" i="4" s="1"/>
  <c r="AT21" i="4"/>
  <c r="AT191" i="4"/>
  <c r="AT316" i="4"/>
  <c r="AT428" i="4" s="1"/>
  <c r="AR429" i="4"/>
  <c r="AT431" i="4"/>
  <c r="AT44" i="4"/>
  <c r="AS288" i="4"/>
  <c r="AS10" i="4" s="1"/>
  <c r="AS12" i="4" s="1"/>
  <c r="BE44" i="4"/>
  <c r="BD379" i="4"/>
  <c r="BD430" i="4" s="1"/>
  <c r="BA191" i="4"/>
  <c r="AS191" i="4"/>
  <c r="AS316" i="4"/>
  <c r="AS325" i="4" s="1"/>
  <c r="AS15" i="4" s="1"/>
  <c r="BD456" i="4"/>
  <c r="BD25" i="4" s="1"/>
  <c r="BD44" i="4"/>
  <c r="BE191" i="4"/>
  <c r="BE429" i="4"/>
  <c r="BE379" i="4"/>
  <c r="BE430" i="4" s="1"/>
  <c r="BB44" i="4"/>
  <c r="BB288" i="4"/>
  <c r="BB10" i="4" s="1"/>
  <c r="BB12" i="4" s="1"/>
  <c r="BB351" i="4"/>
  <c r="BB16" i="4" s="1"/>
  <c r="BB379" i="4"/>
  <c r="BB430" i="4" s="1"/>
  <c r="AS44" i="4"/>
  <c r="AS431" i="4"/>
  <c r="BC429" i="4"/>
  <c r="BE351" i="4"/>
  <c r="BE16" i="4" s="1"/>
  <c r="BC379" i="4"/>
  <c r="BC430" i="4" s="1"/>
  <c r="BC456" i="4"/>
  <c r="BC25" i="4" s="1"/>
  <c r="BD432" i="4"/>
  <c r="BD21" i="4"/>
  <c r="BE432" i="4"/>
  <c r="BE21" i="4"/>
  <c r="AS379" i="4"/>
  <c r="AS17" i="4" s="1"/>
  <c r="BE316" i="4"/>
  <c r="BE428" i="4" s="1"/>
  <c r="AS351" i="4"/>
  <c r="AS16" i="4" s="1"/>
  <c r="BD11" i="4"/>
  <c r="BD216" i="4"/>
  <c r="BC351" i="4"/>
  <c r="BC16" i="4" s="1"/>
  <c r="BD429" i="4"/>
  <c r="BC431" i="4"/>
  <c r="AM429" i="4"/>
  <c r="BA288" i="4"/>
  <c r="BA10" i="4" s="1"/>
  <c r="BA12" i="4" s="1"/>
  <c r="BA351" i="4"/>
  <c r="BA16" i="4" s="1"/>
  <c r="AQ351" i="4"/>
  <c r="AQ16" i="4" s="1"/>
  <c r="AS216" i="4"/>
  <c r="AS456" i="4"/>
  <c r="AS25" i="4" s="1"/>
  <c r="BE216" i="4"/>
  <c r="BD431" i="4"/>
  <c r="BE456" i="4"/>
  <c r="BE25" i="4" s="1"/>
  <c r="BC432" i="4"/>
  <c r="BC21" i="4"/>
  <c r="BE431" i="4"/>
  <c r="BD18" i="4"/>
  <c r="BC191" i="4"/>
  <c r="AS21" i="4"/>
  <c r="AS432" i="4"/>
  <c r="AS429" i="4"/>
  <c r="BA456" i="4"/>
  <c r="BA25" i="4" s="1"/>
  <c r="AQ288" i="4"/>
  <c r="AQ10" i="4" s="1"/>
  <c r="AQ456" i="4"/>
  <c r="AQ25" i="4" s="1"/>
  <c r="AR216" i="4"/>
  <c r="AR288" i="4"/>
  <c r="AR10" i="4" s="1"/>
  <c r="AR12" i="4" s="1"/>
  <c r="BA432" i="4"/>
  <c r="BA21" i="4"/>
  <c r="AM379" i="4"/>
  <c r="AM17" i="4" s="1"/>
  <c r="AQ429" i="4"/>
  <c r="AL379" i="4"/>
  <c r="AL17" i="4" s="1"/>
  <c r="AO429" i="4"/>
  <c r="AQ44" i="4"/>
  <c r="AQ316" i="4"/>
  <c r="AQ428" i="4" s="1"/>
  <c r="BB216" i="4"/>
  <c r="AO288" i="4"/>
  <c r="AO10" i="4" s="1"/>
  <c r="BA316" i="4"/>
  <c r="BA428" i="4" s="1"/>
  <c r="AQ216" i="4"/>
  <c r="AQ431" i="4"/>
  <c r="BB191" i="4"/>
  <c r="AR316" i="4"/>
  <c r="AR428" i="4" s="1"/>
  <c r="AR379" i="4"/>
  <c r="AR431" i="4"/>
  <c r="AN351" i="4"/>
  <c r="AN16" i="4" s="1"/>
  <c r="AN431" i="4"/>
  <c r="BA216" i="4"/>
  <c r="BA429" i="4"/>
  <c r="AQ379" i="4"/>
  <c r="AQ430" i="4" s="1"/>
  <c r="BB456" i="4"/>
  <c r="BB25" i="4" s="1"/>
  <c r="AO456" i="4"/>
  <c r="AO25" i="4" s="1"/>
  <c r="BA431" i="4"/>
  <c r="AQ11" i="4"/>
  <c r="AR191" i="4"/>
  <c r="BB316" i="4"/>
  <c r="BB325" i="4" s="1"/>
  <c r="BB429" i="4"/>
  <c r="BB431" i="4"/>
  <c r="AR456" i="4"/>
  <c r="AR25" i="4" s="1"/>
  <c r="BB432" i="4"/>
  <c r="BB21" i="4"/>
  <c r="AR351" i="4"/>
  <c r="AR16" i="4" s="1"/>
  <c r="AR432" i="4"/>
  <c r="AR18" i="4"/>
  <c r="AR44" i="4"/>
  <c r="AQ191" i="4"/>
  <c r="AQ432" i="4"/>
  <c r="AQ18" i="4"/>
  <c r="BA18" i="4"/>
  <c r="BA44" i="4"/>
  <c r="AO216" i="4"/>
  <c r="AO431" i="4"/>
  <c r="AO432" i="4"/>
  <c r="AO21" i="4"/>
  <c r="AO191" i="4"/>
  <c r="AO11" i="4"/>
  <c r="AO316" i="4"/>
  <c r="AO428" i="4" s="1"/>
  <c r="AO351" i="4"/>
  <c r="AO16" i="4" s="1"/>
  <c r="AN44" i="4"/>
  <c r="AO379" i="4"/>
  <c r="AO17" i="4" s="1"/>
  <c r="AO18" i="4"/>
  <c r="AO44" i="4"/>
  <c r="AP191" i="4"/>
  <c r="AN191" i="4"/>
  <c r="AL431" i="4"/>
  <c r="AL288" i="4"/>
  <c r="AL10" i="4" s="1"/>
  <c r="AZ216" i="4"/>
  <c r="AZ456" i="4"/>
  <c r="AZ25" i="4" s="1"/>
  <c r="AP379" i="4"/>
  <c r="AP430" i="4" s="1"/>
  <c r="AY216" i="4"/>
  <c r="AM288" i="4"/>
  <c r="AM10" i="4" s="1"/>
  <c r="AM12" i="4" s="1"/>
  <c r="AN18" i="4"/>
  <c r="AP316" i="4"/>
  <c r="AP428" i="4" s="1"/>
  <c r="AY191" i="4"/>
  <c r="AZ191" i="4"/>
  <c r="AL191" i="4"/>
  <c r="AL316" i="4"/>
  <c r="AL428" i="4" s="1"/>
  <c r="AN456" i="4"/>
  <c r="AN25" i="4" s="1"/>
  <c r="AP431" i="4"/>
  <c r="AM432" i="4"/>
  <c r="AM21" i="4"/>
  <c r="AN432" i="4"/>
  <c r="AN21" i="4"/>
  <c r="AY44" i="4"/>
  <c r="AY288" i="4"/>
  <c r="AY10" i="4" s="1"/>
  <c r="AY12" i="4" s="1"/>
  <c r="AY351" i="4"/>
  <c r="AY16" i="4" s="1"/>
  <c r="AY431" i="4"/>
  <c r="AZ44" i="4"/>
  <c r="AZ288" i="4"/>
  <c r="AZ10" i="4" s="1"/>
  <c r="AZ351" i="4"/>
  <c r="AZ16" i="4" s="1"/>
  <c r="AZ431" i="4"/>
  <c r="AL44" i="4"/>
  <c r="AL216" i="4"/>
  <c r="AL456" i="4"/>
  <c r="AL25" i="4" s="1"/>
  <c r="AM44" i="4"/>
  <c r="AM316" i="4"/>
  <c r="AM428" i="4" s="1"/>
  <c r="AM351" i="4"/>
  <c r="AM16" i="4" s="1"/>
  <c r="AN316" i="4"/>
  <c r="AN428" i="4" s="1"/>
  <c r="AN379" i="4"/>
  <c r="AN430" i="4" s="1"/>
  <c r="AP44" i="4"/>
  <c r="AP216" i="4"/>
  <c r="AP456" i="4"/>
  <c r="AP25" i="4" s="1"/>
  <c r="AY316" i="4"/>
  <c r="AY428" i="4" s="1"/>
  <c r="AZ316" i="4"/>
  <c r="AZ428" i="4" s="1"/>
  <c r="AL351" i="4"/>
  <c r="AL16" i="4" s="1"/>
  <c r="AN288" i="4"/>
  <c r="AN10" i="4" s="1"/>
  <c r="AN12" i="4" s="1"/>
  <c r="AP351" i="4"/>
  <c r="AP16" i="4" s="1"/>
  <c r="AX316" i="4"/>
  <c r="AX428" i="4" s="1"/>
  <c r="AX456" i="4"/>
  <c r="AX25" i="4" s="1"/>
  <c r="AY379" i="4"/>
  <c r="AY430" i="4" s="1"/>
  <c r="AZ11" i="4"/>
  <c r="AZ379" i="4"/>
  <c r="AZ17" i="4" s="1"/>
  <c r="AL11" i="4"/>
  <c r="AM216" i="4"/>
  <c r="AN216" i="4"/>
  <c r="AP432" i="4"/>
  <c r="AP21" i="4"/>
  <c r="AP429" i="4"/>
  <c r="AP18" i="4"/>
  <c r="AN429" i="4"/>
  <c r="AM431" i="4"/>
  <c r="AM191" i="4"/>
  <c r="AL432" i="4"/>
  <c r="AL21" i="4"/>
  <c r="AL429" i="4"/>
  <c r="AL18" i="4"/>
  <c r="AL34" i="4"/>
  <c r="AZ21" i="4"/>
  <c r="AZ432" i="4"/>
  <c r="AZ429" i="4"/>
  <c r="AZ18" i="4"/>
  <c r="AY21" i="4"/>
  <c r="AY432" i="4"/>
  <c r="AY429" i="4"/>
  <c r="AK351" i="4"/>
  <c r="AK16" i="4" s="1"/>
  <c r="AI379" i="4"/>
  <c r="AI17" i="4" s="1"/>
  <c r="AI456" i="4"/>
  <c r="AI25" i="4" s="1"/>
  <c r="AX288" i="4"/>
  <c r="AX10" i="4" s="1"/>
  <c r="AX12" i="4" s="1"/>
  <c r="AK316" i="4"/>
  <c r="AK428" i="4" s="1"/>
  <c r="AI288" i="4"/>
  <c r="AI10" i="4" s="1"/>
  <c r="AI12" i="4" s="1"/>
  <c r="AB191" i="4"/>
  <c r="AB316" i="4"/>
  <c r="AB428" i="4" s="1"/>
  <c r="AK288" i="4"/>
  <c r="AK10" i="4" s="1"/>
  <c r="AK12" i="4" s="1"/>
  <c r="AK379" i="4"/>
  <c r="AK430" i="4" s="1"/>
  <c r="AI216" i="4"/>
  <c r="AB429" i="4"/>
  <c r="AB456" i="4"/>
  <c r="AB25" i="4" s="1"/>
  <c r="AX379" i="4"/>
  <c r="AX430" i="4" s="1"/>
  <c r="AX44" i="4"/>
  <c r="AX216" i="4"/>
  <c r="AB432" i="4"/>
  <c r="AB21" i="4"/>
  <c r="AI429" i="4"/>
  <c r="AB288" i="4"/>
  <c r="AB10" i="4" s="1"/>
  <c r="AB12" i="4" s="1"/>
  <c r="AB379" i="4"/>
  <c r="AB430" i="4" s="1"/>
  <c r="AK431" i="4"/>
  <c r="AI44" i="4"/>
  <c r="AI316" i="4"/>
  <c r="AI428" i="4" s="1"/>
  <c r="AI351" i="4"/>
  <c r="AI16" i="4" s="1"/>
  <c r="AB216" i="4"/>
  <c r="AB431" i="4"/>
  <c r="AK44" i="4"/>
  <c r="AK216" i="4"/>
  <c r="AK456" i="4"/>
  <c r="AK25" i="4" s="1"/>
  <c r="AX191" i="4"/>
  <c r="AB351" i="4"/>
  <c r="AB16" i="4" s="1"/>
  <c r="AK191" i="4"/>
  <c r="AX351" i="4"/>
  <c r="AX16" i="4" s="1"/>
  <c r="AX431" i="4"/>
  <c r="AX432" i="4"/>
  <c r="AX21" i="4"/>
  <c r="AX429" i="4"/>
  <c r="AX18" i="4"/>
  <c r="AK432" i="4"/>
  <c r="AK21" i="4"/>
  <c r="AK429" i="4"/>
  <c r="AK18" i="4"/>
  <c r="AB18" i="4"/>
  <c r="AB44" i="4"/>
  <c r="AI431" i="4"/>
  <c r="AI191" i="4"/>
  <c r="M351" i="4"/>
  <c r="M16" i="4" s="1"/>
  <c r="W316" i="4"/>
  <c r="W325" i="4" s="1"/>
  <c r="W15" i="4" s="1"/>
  <c r="AH456" i="4"/>
  <c r="AH25" i="4" s="1"/>
  <c r="Z44" i="4"/>
  <c r="AH431" i="4"/>
  <c r="AA44" i="4"/>
  <c r="AA316" i="4"/>
  <c r="AA325" i="4" s="1"/>
  <c r="AA15" i="4" s="1"/>
  <c r="AA429" i="4"/>
  <c r="AA431" i="4"/>
  <c r="M379" i="4"/>
  <c r="M17" i="4" s="1"/>
  <c r="N10" i="4"/>
  <c r="W379" i="4"/>
  <c r="W430" i="4" s="1"/>
  <c r="AH21" i="4"/>
  <c r="AH288" i="4"/>
  <c r="AH10" i="4" s="1"/>
  <c r="AE44" i="4"/>
  <c r="AE216" i="4"/>
  <c r="AE288" i="4"/>
  <c r="AE10" i="4" s="1"/>
  <c r="AE12" i="4" s="1"/>
  <c r="AE316" i="4"/>
  <c r="AE428" i="4" s="1"/>
  <c r="AE429" i="4"/>
  <c r="AE431" i="4"/>
  <c r="Y456" i="4"/>
  <c r="Y25" i="4" s="1"/>
  <c r="AA20" i="4"/>
  <c r="Z191" i="4"/>
  <c r="Z351" i="4"/>
  <c r="Z16" i="4" s="1"/>
  <c r="Z379" i="4"/>
  <c r="Z430" i="4" s="1"/>
  <c r="Z456" i="4"/>
  <c r="Z25" i="4" s="1"/>
  <c r="AH216" i="4"/>
  <c r="AH351" i="4"/>
  <c r="AH16" i="4" s="1"/>
  <c r="Y44" i="4"/>
  <c r="Y316" i="4"/>
  <c r="Y428" i="4" s="1"/>
  <c r="Y351" i="4"/>
  <c r="Y16" i="4" s="1"/>
  <c r="Y379" i="4"/>
  <c r="Y17" i="4" s="1"/>
  <c r="AA191" i="4"/>
  <c r="AA288" i="4"/>
  <c r="AA10" i="4" s="1"/>
  <c r="AH379" i="4"/>
  <c r="AH430" i="4" s="1"/>
  <c r="Y431" i="4"/>
  <c r="H288" i="4"/>
  <c r="H10" i="4" s="1"/>
  <c r="H12" i="4" s="1"/>
  <c r="J288" i="4"/>
  <c r="J10" i="4" s="1"/>
  <c r="J12" i="4" s="1"/>
  <c r="X456" i="4"/>
  <c r="X25" i="4" s="1"/>
  <c r="Y216" i="4"/>
  <c r="Y288" i="4"/>
  <c r="Y10" i="4" s="1"/>
  <c r="Y12" i="4" s="1"/>
  <c r="AE456" i="4"/>
  <c r="AE25" i="4" s="1"/>
  <c r="AA216" i="4"/>
  <c r="Z316" i="4"/>
  <c r="Z325" i="4" s="1"/>
  <c r="Z15" i="4" s="1"/>
  <c r="Z429" i="4"/>
  <c r="Z431" i="4"/>
  <c r="AH429" i="4"/>
  <c r="Z11" i="4"/>
  <c r="AH191" i="4"/>
  <c r="AH316" i="4"/>
  <c r="AH428" i="4" s="1"/>
  <c r="M44" i="4"/>
  <c r="AE20" i="4"/>
  <c r="AE191" i="4"/>
  <c r="AE351" i="4"/>
  <c r="AE16" i="4" s="1"/>
  <c r="AE379" i="4"/>
  <c r="AE17" i="4" s="1"/>
  <c r="AA11" i="4"/>
  <c r="Z216" i="4"/>
  <c r="Z288" i="4"/>
  <c r="Z10" i="4" s="1"/>
  <c r="AA351" i="4"/>
  <c r="AA16" i="4" s="1"/>
  <c r="AA379" i="4"/>
  <c r="AA430" i="4" s="1"/>
  <c r="AA456" i="4"/>
  <c r="AA25" i="4" s="1"/>
  <c r="AH11" i="4"/>
  <c r="AH18" i="4"/>
  <c r="AH44" i="4"/>
  <c r="AA432" i="4"/>
  <c r="AA21" i="4"/>
  <c r="Z432" i="4"/>
  <c r="Z21" i="4"/>
  <c r="AE432" i="4"/>
  <c r="AE21" i="4"/>
  <c r="Y191" i="4"/>
  <c r="Y432" i="4"/>
  <c r="Y18" i="4"/>
  <c r="Y429" i="4"/>
  <c r="S44" i="4"/>
  <c r="H379" i="4"/>
  <c r="H430" i="4" s="1"/>
  <c r="I288" i="4"/>
  <c r="I10" i="4" s="1"/>
  <c r="I12" i="4" s="1"/>
  <c r="S316" i="4"/>
  <c r="S428" i="4" s="1"/>
  <c r="X431" i="4"/>
  <c r="S288" i="4"/>
  <c r="S10" i="4" s="1"/>
  <c r="S12" i="4" s="1"/>
  <c r="S351" i="4"/>
  <c r="S16" i="4" s="1"/>
  <c r="M456" i="4"/>
  <c r="M25" i="4" s="1"/>
  <c r="N379" i="4"/>
  <c r="N430" i="4" s="1"/>
  <c r="V316" i="4"/>
  <c r="V428" i="4" s="1"/>
  <c r="U429" i="4"/>
  <c r="X379" i="4"/>
  <c r="X430" i="4" s="1"/>
  <c r="N191" i="4"/>
  <c r="N316" i="4"/>
  <c r="N428" i="4" s="1"/>
  <c r="W288" i="4"/>
  <c r="W10" i="4" s="1"/>
  <c r="W12" i="4" s="1"/>
  <c r="X216" i="4"/>
  <c r="X351" i="4"/>
  <c r="X16" i="4" s="1"/>
  <c r="S431" i="4"/>
  <c r="O216" i="4"/>
  <c r="U456" i="4"/>
  <c r="U25" i="4" s="1"/>
  <c r="V456" i="4"/>
  <c r="V25" i="4" s="1"/>
  <c r="W44" i="4"/>
  <c r="S379" i="4"/>
  <c r="S430" i="4" s="1"/>
  <c r="N351" i="4"/>
  <c r="N16" i="4" s="1"/>
  <c r="O191" i="4"/>
  <c r="U191" i="4"/>
  <c r="T216" i="4"/>
  <c r="V288" i="4"/>
  <c r="V10" i="4" s="1"/>
  <c r="V12" i="4" s="1"/>
  <c r="U379" i="4"/>
  <c r="U430" i="4" s="1"/>
  <c r="X288" i="4"/>
  <c r="X10" i="4" s="1"/>
  <c r="X12" i="4" s="1"/>
  <c r="S216" i="4"/>
  <c r="N11" i="4"/>
  <c r="O316" i="4"/>
  <c r="O428" i="4" s="1"/>
  <c r="U44" i="4"/>
  <c r="V44" i="4"/>
  <c r="U216" i="4"/>
  <c r="U316" i="4"/>
  <c r="U428" i="4" s="1"/>
  <c r="T429" i="4"/>
  <c r="V379" i="4"/>
  <c r="V17" i="4" s="1"/>
  <c r="U431" i="4"/>
  <c r="W216" i="4"/>
  <c r="X316" i="4"/>
  <c r="X428" i="4" s="1"/>
  <c r="S20" i="4"/>
  <c r="S429" i="4"/>
  <c r="S456" i="4"/>
  <c r="S25" i="4" s="1"/>
  <c r="M191" i="4"/>
  <c r="N216" i="4"/>
  <c r="O11" i="4"/>
  <c r="O44" i="4"/>
  <c r="O288" i="4"/>
  <c r="O10" i="4" s="1"/>
  <c r="O351" i="4"/>
  <c r="O16" i="4" s="1"/>
  <c r="O431" i="4"/>
  <c r="U20" i="4"/>
  <c r="T44" i="4"/>
  <c r="U288" i="4"/>
  <c r="U10" i="4" s="1"/>
  <c r="U12" i="4" s="1"/>
  <c r="T316" i="4"/>
  <c r="T428" i="4" s="1"/>
  <c r="V429" i="4"/>
  <c r="T379" i="4"/>
  <c r="T17" i="4" s="1"/>
  <c r="V431" i="4"/>
  <c r="W429" i="4"/>
  <c r="W431" i="4"/>
  <c r="X429" i="4"/>
  <c r="M216" i="4"/>
  <c r="O456" i="4"/>
  <c r="O25" i="4" s="1"/>
  <c r="T431" i="4"/>
  <c r="W456" i="4"/>
  <c r="W25" i="4" s="1"/>
  <c r="X191" i="4"/>
  <c r="S191" i="4"/>
  <c r="M316" i="4"/>
  <c r="M325" i="4" s="1"/>
  <c r="N44" i="4"/>
  <c r="N456" i="4"/>
  <c r="N25" i="4" s="1"/>
  <c r="O379" i="4"/>
  <c r="O17" i="4" s="1"/>
  <c r="V216" i="4"/>
  <c r="T288" i="4"/>
  <c r="T10" i="4" s="1"/>
  <c r="T12" i="4" s="1"/>
  <c r="U351" i="4"/>
  <c r="U16" i="4" s="1"/>
  <c r="T456" i="4"/>
  <c r="T25" i="4" s="1"/>
  <c r="W191" i="4"/>
  <c r="X21" i="4"/>
  <c r="X18" i="4"/>
  <c r="X44" i="4"/>
  <c r="W432" i="4"/>
  <c r="W21" i="4"/>
  <c r="W351" i="4"/>
  <c r="W16" i="4" s="1"/>
  <c r="W18" i="4"/>
  <c r="U432" i="4"/>
  <c r="U21" i="4"/>
  <c r="V191" i="4"/>
  <c r="T351" i="4"/>
  <c r="T16" i="4" s="1"/>
  <c r="V432" i="4"/>
  <c r="V18" i="4"/>
  <c r="T191" i="4"/>
  <c r="V351" i="4"/>
  <c r="V16" i="4" s="1"/>
  <c r="T432" i="4"/>
  <c r="T18" i="4"/>
  <c r="O21" i="4"/>
  <c r="O429" i="4"/>
  <c r="O18" i="4"/>
  <c r="N432" i="4"/>
  <c r="N21" i="4"/>
  <c r="N431" i="4"/>
  <c r="N429" i="4"/>
  <c r="M21" i="4"/>
  <c r="M431" i="4"/>
  <c r="M429" i="4"/>
  <c r="S432" i="4"/>
  <c r="S21" i="4"/>
  <c r="R191" i="4"/>
  <c r="R316" i="4"/>
  <c r="R428" i="4" s="1"/>
  <c r="D351" i="4"/>
  <c r="D16" i="4" s="1"/>
  <c r="D456" i="4"/>
  <c r="D25" i="4" s="1"/>
  <c r="H44" i="4"/>
  <c r="H216" i="4"/>
  <c r="R288" i="4"/>
  <c r="R10" i="4" s="1"/>
  <c r="R12" i="4" s="1"/>
  <c r="R351" i="4"/>
  <c r="R16" i="4" s="1"/>
  <c r="R456" i="4"/>
  <c r="R25" i="4" s="1"/>
  <c r="R216" i="4"/>
  <c r="J456" i="4"/>
  <c r="J25" i="4" s="1"/>
  <c r="Q44" i="4"/>
  <c r="Q216" i="4"/>
  <c r="Q288" i="4"/>
  <c r="Q10" i="4" s="1"/>
  <c r="Q12" i="4" s="1"/>
  <c r="Q316" i="4"/>
  <c r="Q428" i="4" s="1"/>
  <c r="Q429" i="4"/>
  <c r="Q431" i="4"/>
  <c r="P456" i="4"/>
  <c r="P25" i="4" s="1"/>
  <c r="I191" i="4"/>
  <c r="J379" i="4"/>
  <c r="J17" i="4" s="1"/>
  <c r="R379" i="4"/>
  <c r="R430" i="4" s="1"/>
  <c r="D191" i="4"/>
  <c r="D288" i="4"/>
  <c r="D10" i="4" s="1"/>
  <c r="P44" i="4"/>
  <c r="P316" i="4"/>
  <c r="P428" i="4" s="1"/>
  <c r="P351" i="4"/>
  <c r="P16" i="4" s="1"/>
  <c r="P379" i="4"/>
  <c r="P17" i="4" s="1"/>
  <c r="P431" i="4"/>
  <c r="I351" i="4"/>
  <c r="I16" i="4" s="1"/>
  <c r="I456" i="4"/>
  <c r="I25" i="4" s="1"/>
  <c r="J44" i="4"/>
  <c r="J216" i="4"/>
  <c r="J316" i="4"/>
  <c r="J428" i="4" s="1"/>
  <c r="R431" i="4"/>
  <c r="H316" i="4"/>
  <c r="H428" i="4" s="1"/>
  <c r="R20" i="4"/>
  <c r="D316" i="4"/>
  <c r="D428" i="4" s="1"/>
  <c r="D379" i="4"/>
  <c r="D430" i="4" s="1"/>
  <c r="H351" i="4"/>
  <c r="H16" i="4" s="1"/>
  <c r="H456" i="4"/>
  <c r="H25" i="4" s="1"/>
  <c r="P21" i="4"/>
  <c r="P216" i="4"/>
  <c r="P288" i="4"/>
  <c r="P10" i="4" s="1"/>
  <c r="P12" i="4" s="1"/>
  <c r="Q456" i="4"/>
  <c r="Q25" i="4" s="1"/>
  <c r="I316" i="4"/>
  <c r="I325" i="4" s="1"/>
  <c r="I379" i="4"/>
  <c r="I17" i="4" s="1"/>
  <c r="R429" i="4"/>
  <c r="H191" i="4"/>
  <c r="J191" i="4"/>
  <c r="D44" i="4"/>
  <c r="D216" i="4"/>
  <c r="Q20" i="4"/>
  <c r="Q191" i="4"/>
  <c r="Q351" i="4"/>
  <c r="Q16" i="4" s="1"/>
  <c r="Q379" i="4"/>
  <c r="Q17" i="4" s="1"/>
  <c r="I44" i="4"/>
  <c r="I216" i="4"/>
  <c r="J351" i="4"/>
  <c r="J16" i="4" s="1"/>
  <c r="J431" i="4"/>
  <c r="J432" i="4"/>
  <c r="J21" i="4"/>
  <c r="J429" i="4"/>
  <c r="J18" i="4"/>
  <c r="I21" i="4"/>
  <c r="I432" i="4"/>
  <c r="I431" i="4"/>
  <c r="I429" i="4"/>
  <c r="Q432" i="4"/>
  <c r="Q21" i="4"/>
  <c r="P191" i="4"/>
  <c r="P18" i="4"/>
  <c r="P429" i="4"/>
  <c r="H432" i="4"/>
  <c r="H21" i="4"/>
  <c r="H431" i="4"/>
  <c r="H429" i="4"/>
  <c r="D21" i="4"/>
  <c r="D432" i="4"/>
  <c r="D431" i="4"/>
  <c r="D429" i="4"/>
  <c r="R432" i="4"/>
  <c r="R21" i="4"/>
  <c r="R44" i="4"/>
  <c r="D51" i="1"/>
  <c r="E51" i="1"/>
  <c r="C51" i="1"/>
  <c r="C50" i="1"/>
  <c r="AI21" i="4" l="1"/>
  <c r="AV2" i="4"/>
  <c r="AW2" i="4" s="1"/>
  <c r="AX2" i="4" s="1"/>
  <c r="AY2" i="4" s="1"/>
  <c r="AZ2" i="4" s="1"/>
  <c r="BA2" i="4" s="1"/>
  <c r="BB2" i="4" s="1"/>
  <c r="BC2" i="4" s="1"/>
  <c r="BD2" i="4" s="1"/>
  <c r="BE2" i="4" s="1"/>
  <c r="BF2" i="4" s="1"/>
  <c r="D290" i="4"/>
  <c r="D12" i="4"/>
  <c r="Z425" i="4"/>
  <c r="M290" i="4"/>
  <c r="AT290" i="4"/>
  <c r="AU290" i="4"/>
  <c r="AH290" i="4"/>
  <c r="AU325" i="4"/>
  <c r="AU15" i="4" s="1"/>
  <c r="AU23" i="4" s="1"/>
  <c r="BD17" i="4"/>
  <c r="BE325" i="4"/>
  <c r="BE15" i="4" s="1"/>
  <c r="BC17" i="4"/>
  <c r="AU193" i="4"/>
  <c r="AU248" i="4" s="1"/>
  <c r="AU43" i="4"/>
  <c r="AU45" i="4" s="1"/>
  <c r="AR325" i="4"/>
  <c r="AR15" i="4" s="1"/>
  <c r="BC290" i="4"/>
  <c r="AU430" i="4"/>
  <c r="AU433" i="4" s="1"/>
  <c r="AU434" i="4" s="1"/>
  <c r="AU49" i="4" s="1"/>
  <c r="BA17" i="4"/>
  <c r="AS428" i="4"/>
  <c r="AT430" i="4"/>
  <c r="AT433" i="4" s="1"/>
  <c r="AT434" i="4" s="1"/>
  <c r="AT49" i="4" s="1"/>
  <c r="BE290" i="4"/>
  <c r="BC325" i="4"/>
  <c r="BC15" i="4" s="1"/>
  <c r="BD325" i="4"/>
  <c r="BD15" i="4" s="1"/>
  <c r="AT45" i="4"/>
  <c r="AT193" i="4"/>
  <c r="AT248" i="4" s="1"/>
  <c r="AQ17" i="4"/>
  <c r="AS430" i="4"/>
  <c r="AT325" i="4"/>
  <c r="BB290" i="4"/>
  <c r="AS290" i="4"/>
  <c r="BD433" i="4"/>
  <c r="BD434" i="4" s="1"/>
  <c r="BD49" i="4" s="1"/>
  <c r="BD12" i="4"/>
  <c r="BD290" i="4"/>
  <c r="BB17" i="4"/>
  <c r="BA290" i="4"/>
  <c r="BE193" i="4"/>
  <c r="BE248" i="4" s="1"/>
  <c r="BE43" i="4"/>
  <c r="BE45" i="4" s="1"/>
  <c r="BE17" i="4"/>
  <c r="BC433" i="4"/>
  <c r="BC434" i="4" s="1"/>
  <c r="BC49" i="4" s="1"/>
  <c r="BD193" i="4"/>
  <c r="BD248" i="4" s="1"/>
  <c r="BD43" i="4"/>
  <c r="BD45" i="4" s="1"/>
  <c r="BC425" i="4"/>
  <c r="AQ12" i="4"/>
  <c r="AO290" i="4"/>
  <c r="AQ325" i="4"/>
  <c r="AQ15" i="4" s="1"/>
  <c r="AS23" i="4"/>
  <c r="AS30" i="4" s="1"/>
  <c r="AS39" i="4" s="1"/>
  <c r="AS41" i="4" s="1"/>
  <c r="BE433" i="4"/>
  <c r="BE434" i="4" s="1"/>
  <c r="BE49" i="4" s="1"/>
  <c r="BC193" i="4"/>
  <c r="BC248" i="4" s="1"/>
  <c r="BC43" i="4"/>
  <c r="BC45" i="4" s="1"/>
  <c r="AS425" i="4"/>
  <c r="AS43" i="4"/>
  <c r="AS45" i="4" s="1"/>
  <c r="AS193" i="4"/>
  <c r="AS248" i="4" s="1"/>
  <c r="AM430" i="4"/>
  <c r="AM433" i="4" s="1"/>
  <c r="AM434" i="4" s="1"/>
  <c r="AM49" i="4" s="1"/>
  <c r="AO12" i="4"/>
  <c r="AR290" i="4"/>
  <c r="AQ290" i="4"/>
  <c r="AL430" i="4"/>
  <c r="AL433" i="4" s="1"/>
  <c r="AL434" i="4" s="1"/>
  <c r="AL49" i="4" s="1"/>
  <c r="AQ433" i="4"/>
  <c r="AQ434" i="4" s="1"/>
  <c r="AQ49" i="4" s="1"/>
  <c r="BB428" i="4"/>
  <c r="BB433" i="4" s="1"/>
  <c r="BB434" i="4" s="1"/>
  <c r="BB49" i="4" s="1"/>
  <c r="AR430" i="4"/>
  <c r="AR433" i="4" s="1"/>
  <c r="AR434" i="4" s="1"/>
  <c r="AR49" i="4" s="1"/>
  <c r="BB15" i="4"/>
  <c r="BB425" i="4"/>
  <c r="AR193" i="4"/>
  <c r="AR248" i="4" s="1"/>
  <c r="AR43" i="4"/>
  <c r="AR45" i="4" s="1"/>
  <c r="BA325" i="4"/>
  <c r="BA433" i="4"/>
  <c r="BA434" i="4" s="1"/>
  <c r="BA49" i="4" s="1"/>
  <c r="BA193" i="4"/>
  <c r="BA248" i="4" s="1"/>
  <c r="AR17" i="4"/>
  <c r="AN45" i="4"/>
  <c r="BB43" i="4"/>
  <c r="BB45" i="4" s="1"/>
  <c r="BB193" i="4"/>
  <c r="BB248" i="4" s="1"/>
  <c r="AQ43" i="4"/>
  <c r="AQ45" i="4" s="1"/>
  <c r="AQ193" i="4"/>
  <c r="AQ248" i="4" s="1"/>
  <c r="BA45" i="4"/>
  <c r="BA53" i="4" s="1"/>
  <c r="AP17" i="4"/>
  <c r="AO430" i="4"/>
  <c r="AO433" i="4" s="1"/>
  <c r="AO434" i="4" s="1"/>
  <c r="AO49" i="4" s="1"/>
  <c r="AO193" i="4"/>
  <c r="AO248" i="4" s="1"/>
  <c r="AO43" i="4"/>
  <c r="AO45" i="4" s="1"/>
  <c r="AO325" i="4"/>
  <c r="AO15" i="4" s="1"/>
  <c r="AO23" i="4" s="1"/>
  <c r="AM290" i="4"/>
  <c r="AZ12" i="4"/>
  <c r="AP12" i="4"/>
  <c r="AZ290" i="4"/>
  <c r="AY17" i="4"/>
  <c r="AL12" i="4"/>
  <c r="AP193" i="4"/>
  <c r="AP248" i="4" s="1"/>
  <c r="AP43" i="4"/>
  <c r="AP45" i="4" s="1"/>
  <c r="AY325" i="4"/>
  <c r="AY15" i="4" s="1"/>
  <c r="AL290" i="4"/>
  <c r="AM325" i="4"/>
  <c r="AM15" i="4" s="1"/>
  <c r="AM23" i="4" s="1"/>
  <c r="AI430" i="4"/>
  <c r="AI433" i="4" s="1"/>
  <c r="AI434" i="4" s="1"/>
  <c r="AI49" i="4" s="1"/>
  <c r="AX290" i="4"/>
  <c r="AZ430" i="4"/>
  <c r="AZ433" i="4" s="1"/>
  <c r="AZ434" i="4" s="1"/>
  <c r="AZ49" i="4" s="1"/>
  <c r="AN193" i="4"/>
  <c r="AN248" i="4" s="1"/>
  <c r="AM45" i="4"/>
  <c r="AN325" i="4"/>
  <c r="AN15" i="4" s="1"/>
  <c r="AP325" i="4"/>
  <c r="AL325" i="4"/>
  <c r="AN290" i="4"/>
  <c r="AL43" i="4"/>
  <c r="AL45" i="4" s="1"/>
  <c r="AL193" i="4"/>
  <c r="AL248" i="4" s="1"/>
  <c r="AB43" i="4"/>
  <c r="AB45" i="4" s="1"/>
  <c r="AB193" i="4"/>
  <c r="AB248" i="4" s="1"/>
  <c r="AY43" i="4"/>
  <c r="AY45" i="4" s="1"/>
  <c r="AY193" i="4"/>
  <c r="AY248" i="4" s="1"/>
  <c r="AX325" i="4"/>
  <c r="AX15" i="4" s="1"/>
  <c r="AY290" i="4"/>
  <c r="AZ325" i="4"/>
  <c r="AZ15" i="4" s="1"/>
  <c r="AZ23" i="4" s="1"/>
  <c r="AN17" i="4"/>
  <c r="AM193" i="4"/>
  <c r="AM248" i="4" s="1"/>
  <c r="AN433" i="4"/>
  <c r="AN434" i="4" s="1"/>
  <c r="AN49" i="4" s="1"/>
  <c r="AP433" i="4"/>
  <c r="AP434" i="4" s="1"/>
  <c r="AP49" i="4" s="1"/>
  <c r="AM34" i="4"/>
  <c r="AZ43" i="4"/>
  <c r="AZ45" i="4" s="1"/>
  <c r="AZ193" i="4"/>
  <c r="AZ248" i="4" s="1"/>
  <c r="AY433" i="4"/>
  <c r="AY434" i="4" s="1"/>
  <c r="AY49" i="4" s="1"/>
  <c r="AK290" i="4"/>
  <c r="AK17" i="4"/>
  <c r="AI325" i="4"/>
  <c r="AB17" i="4"/>
  <c r="AX17" i="4"/>
  <c r="AK325" i="4"/>
  <c r="AK15" i="4" s="1"/>
  <c r="AI290" i="4"/>
  <c r="AB325" i="4"/>
  <c r="AB15" i="4" s="1"/>
  <c r="AB433" i="4"/>
  <c r="AB434" i="4" s="1"/>
  <c r="AB49" i="4" s="1"/>
  <c r="AK43" i="4"/>
  <c r="AK45" i="4" s="1"/>
  <c r="AK193" i="4"/>
  <c r="AK248" i="4" s="1"/>
  <c r="AX43" i="4"/>
  <c r="AX45" i="4" s="1"/>
  <c r="AX193" i="4"/>
  <c r="AX248" i="4" s="1"/>
  <c r="AB290" i="4"/>
  <c r="AK433" i="4"/>
  <c r="AK434" i="4" s="1"/>
  <c r="AK49" i="4" s="1"/>
  <c r="AX433" i="4"/>
  <c r="AX434" i="4" s="1"/>
  <c r="AX49" i="4" s="1"/>
  <c r="AI193" i="4"/>
  <c r="AI248" i="4" s="1"/>
  <c r="AI43" i="4"/>
  <c r="AI45" i="4" s="1"/>
  <c r="AA12" i="4"/>
  <c r="U325" i="4"/>
  <c r="U15" i="4" s="1"/>
  <c r="AH17" i="4"/>
  <c r="M430" i="4"/>
  <c r="W17" i="4"/>
  <c r="W23" i="4" s="1"/>
  <c r="AE290" i="4"/>
  <c r="W428" i="4"/>
  <c r="W433" i="4" s="1"/>
  <c r="W434" i="4" s="1"/>
  <c r="W49" i="4" s="1"/>
  <c r="J290" i="4"/>
  <c r="H17" i="4"/>
  <c r="AA428" i="4"/>
  <c r="AA433" i="4" s="1"/>
  <c r="AA434" i="4" s="1"/>
  <c r="AA49" i="4" s="1"/>
  <c r="N325" i="4"/>
  <c r="N15" i="4" s="1"/>
  <c r="N12" i="4"/>
  <c r="N290" i="4"/>
  <c r="AH325" i="4"/>
  <c r="AH15" i="4" s="1"/>
  <c r="V325" i="4"/>
  <c r="V15" i="4" s="1"/>
  <c r="V23" i="4" s="1"/>
  <c r="AE430" i="4"/>
  <c r="AE433" i="4" s="1"/>
  <c r="AE434" i="4" s="1"/>
  <c r="AE49" i="4" s="1"/>
  <c r="S17" i="4"/>
  <c r="Y430" i="4"/>
  <c r="Y433" i="4" s="1"/>
  <c r="Y434" i="4" s="1"/>
  <c r="Y49" i="4" s="1"/>
  <c r="T290" i="4"/>
  <c r="Y290" i="4"/>
  <c r="AA290" i="4"/>
  <c r="AH433" i="4"/>
  <c r="AH434" i="4" s="1"/>
  <c r="AH49" i="4" s="1"/>
  <c r="Y325" i="4"/>
  <c r="Y15" i="4" s="1"/>
  <c r="Y23" i="4" s="1"/>
  <c r="Z428" i="4"/>
  <c r="Z433" i="4" s="1"/>
  <c r="Z434" i="4" s="1"/>
  <c r="Z49" i="4" s="1"/>
  <c r="Y45" i="4"/>
  <c r="AH43" i="4"/>
  <c r="AH45" i="4" s="1"/>
  <c r="AH193" i="4"/>
  <c r="AH248" i="4" s="1"/>
  <c r="Z17" i="4"/>
  <c r="Z23" i="4" s="1"/>
  <c r="AE325" i="4"/>
  <c r="AE15" i="4" s="1"/>
  <c r="AE23" i="4" s="1"/>
  <c r="Z12" i="4"/>
  <c r="P430" i="4"/>
  <c r="P433" i="4" s="1"/>
  <c r="P434" i="4" s="1"/>
  <c r="P49" i="4" s="1"/>
  <c r="T430" i="4"/>
  <c r="T433" i="4" s="1"/>
  <c r="T434" i="4" s="1"/>
  <c r="T49" i="4" s="1"/>
  <c r="Y193" i="4"/>
  <c r="Y248" i="4" s="1"/>
  <c r="AA425" i="4"/>
  <c r="AH12" i="4"/>
  <c r="AA43" i="4"/>
  <c r="AA45" i="4" s="1"/>
  <c r="AA193" i="4"/>
  <c r="AA248" i="4" s="1"/>
  <c r="V430" i="4"/>
  <c r="V433" i="4" s="1"/>
  <c r="V434" i="4" s="1"/>
  <c r="V49" i="4" s="1"/>
  <c r="X325" i="4"/>
  <c r="X15" i="4" s="1"/>
  <c r="AA17" i="4"/>
  <c r="AA23" i="4" s="1"/>
  <c r="Z193" i="4"/>
  <c r="Z248" i="4" s="1"/>
  <c r="Z43" i="4"/>
  <c r="Z45" i="4" s="1"/>
  <c r="AE43" i="4"/>
  <c r="AE45" i="4" s="1"/>
  <c r="AE193" i="4"/>
  <c r="AE248" i="4" s="1"/>
  <c r="T325" i="4"/>
  <c r="T15" i="4" s="1"/>
  <c r="T23" i="4" s="1"/>
  <c r="N17" i="4"/>
  <c r="O430" i="4"/>
  <c r="O433" i="4" s="1"/>
  <c r="O434" i="4" s="1"/>
  <c r="O49" i="4" s="1"/>
  <c r="U17" i="4"/>
  <c r="S290" i="4"/>
  <c r="X433" i="4"/>
  <c r="X434" i="4" s="1"/>
  <c r="X49" i="4" s="1"/>
  <c r="H290" i="4"/>
  <c r="U290" i="4"/>
  <c r="Z290" i="4"/>
  <c r="W43" i="4"/>
  <c r="W45" i="4" s="1"/>
  <c r="W193" i="4"/>
  <c r="W248" i="4" s="1"/>
  <c r="X17" i="4"/>
  <c r="I290" i="4"/>
  <c r="S325" i="4"/>
  <c r="S15" i="4" s="1"/>
  <c r="V45" i="4"/>
  <c r="Q325" i="4"/>
  <c r="Q15" i="4" s="1"/>
  <c r="Q23" i="4" s="1"/>
  <c r="M428" i="4"/>
  <c r="V290" i="4"/>
  <c r="S433" i="4"/>
  <c r="S434" i="4" s="1"/>
  <c r="S49" i="4" s="1"/>
  <c r="T45" i="4"/>
  <c r="O12" i="4"/>
  <c r="U43" i="4"/>
  <c r="U45" i="4" s="1"/>
  <c r="U193" i="4"/>
  <c r="U248" i="4" s="1"/>
  <c r="U433" i="4"/>
  <c r="U434" i="4" s="1"/>
  <c r="U49" i="4" s="1"/>
  <c r="X290" i="4"/>
  <c r="P325" i="4"/>
  <c r="P15" i="4" s="1"/>
  <c r="P23" i="4" s="1"/>
  <c r="R290" i="4"/>
  <c r="O325" i="4"/>
  <c r="O15" i="4" s="1"/>
  <c r="O23" i="4" s="1"/>
  <c r="V193" i="4"/>
  <c r="V248" i="4" s="1"/>
  <c r="W290" i="4"/>
  <c r="N193" i="4"/>
  <c r="N248" i="4" s="1"/>
  <c r="N43" i="4"/>
  <c r="N45" i="4" s="1"/>
  <c r="X193" i="4"/>
  <c r="X248" i="4" s="1"/>
  <c r="X43" i="4"/>
  <c r="X45" i="4" s="1"/>
  <c r="S43" i="4"/>
  <c r="S45" i="4" s="1"/>
  <c r="S193" i="4"/>
  <c r="S248" i="4" s="1"/>
  <c r="M15" i="4"/>
  <c r="M23" i="4" s="1"/>
  <c r="M425" i="4"/>
  <c r="T193" i="4"/>
  <c r="T248" i="4" s="1"/>
  <c r="W425" i="4"/>
  <c r="O290" i="4"/>
  <c r="O43" i="4"/>
  <c r="O45" i="4" s="1"/>
  <c r="O193" i="4"/>
  <c r="O248" i="4" s="1"/>
  <c r="N433" i="4"/>
  <c r="N434" i="4" s="1"/>
  <c r="N49" i="4" s="1"/>
  <c r="M43" i="4"/>
  <c r="M45" i="4" s="1"/>
  <c r="M193" i="4"/>
  <c r="M248" i="4" s="1"/>
  <c r="R325" i="4"/>
  <c r="R15" i="4" s="1"/>
  <c r="I428" i="4"/>
  <c r="P45" i="4"/>
  <c r="R17" i="4"/>
  <c r="P290" i="4"/>
  <c r="J430" i="4"/>
  <c r="J433" i="4" s="1"/>
  <c r="J434" i="4" s="1"/>
  <c r="J49" i="4" s="1"/>
  <c r="D17" i="4"/>
  <c r="P193" i="4"/>
  <c r="P248" i="4" s="1"/>
  <c r="D325" i="4"/>
  <c r="D15" i="4" s="1"/>
  <c r="Q290" i="4"/>
  <c r="J325" i="4"/>
  <c r="J15" i="4" s="1"/>
  <c r="J23" i="4" s="1"/>
  <c r="J193" i="4"/>
  <c r="J248" i="4" s="1"/>
  <c r="J43" i="4"/>
  <c r="J45" i="4" s="1"/>
  <c r="I15" i="4"/>
  <c r="I23" i="4" s="1"/>
  <c r="I425" i="4"/>
  <c r="R43" i="4"/>
  <c r="R45" i="4" s="1"/>
  <c r="R193" i="4"/>
  <c r="R248" i="4" s="1"/>
  <c r="Q430" i="4"/>
  <c r="Q433" i="4" s="1"/>
  <c r="Q434" i="4" s="1"/>
  <c r="Q49" i="4" s="1"/>
  <c r="I430" i="4"/>
  <c r="H325" i="4"/>
  <c r="H15" i="4" s="1"/>
  <c r="I43" i="4"/>
  <c r="I45" i="4" s="1"/>
  <c r="I193" i="4"/>
  <c r="I248" i="4" s="1"/>
  <c r="Q43" i="4"/>
  <c r="Q45" i="4" s="1"/>
  <c r="Q193" i="4"/>
  <c r="Q248" i="4" s="1"/>
  <c r="H433" i="4"/>
  <c r="H434" i="4" s="1"/>
  <c r="H49" i="4" s="1"/>
  <c r="H43" i="4"/>
  <c r="H45" i="4" s="1"/>
  <c r="H193" i="4"/>
  <c r="H248" i="4" s="1"/>
  <c r="D433" i="4"/>
  <c r="D434" i="4" s="1"/>
  <c r="D49" i="4" s="1"/>
  <c r="D43" i="4"/>
  <c r="D193" i="4"/>
  <c r="D248" i="4" s="1"/>
  <c r="R434" i="4"/>
  <c r="R49" i="4" s="1"/>
  <c r="AI15" i="4" l="1"/>
  <c r="AI23" i="4" s="1"/>
  <c r="AI425" i="4"/>
  <c r="AH23" i="4"/>
  <c r="AS433" i="4"/>
  <c r="AS434" i="4" s="1"/>
  <c r="AS49" i="4" s="1"/>
  <c r="AS53" i="4" s="1"/>
  <c r="AU425" i="4"/>
  <c r="BC53" i="4"/>
  <c r="BE425" i="4"/>
  <c r="AQ23" i="4"/>
  <c r="BD23" i="4"/>
  <c r="BD497" i="4" s="1"/>
  <c r="BC23" i="4"/>
  <c r="AR23" i="4"/>
  <c r="BE23" i="4"/>
  <c r="BD425" i="4"/>
  <c r="AU53" i="4"/>
  <c r="AR425" i="4"/>
  <c r="AN53" i="4"/>
  <c r="AT53" i="4"/>
  <c r="AQ53" i="4"/>
  <c r="BB23" i="4"/>
  <c r="AT15" i="4"/>
  <c r="AT23" i="4" s="1"/>
  <c r="AT425" i="4"/>
  <c r="BD53" i="4"/>
  <c r="BE53" i="4"/>
  <c r="AY34" i="4"/>
  <c r="AQ425" i="4"/>
  <c r="AL53" i="4"/>
  <c r="AR53" i="4"/>
  <c r="AM425" i="4"/>
  <c r="AY23" i="4"/>
  <c r="AP53" i="4"/>
  <c r="AZ425" i="4"/>
  <c r="AN23" i="4"/>
  <c r="AY53" i="4"/>
  <c r="BB53" i="4"/>
  <c r="AM53" i="4"/>
  <c r="AO425" i="4"/>
  <c r="BA15" i="4"/>
  <c r="BA23" i="4" s="1"/>
  <c r="BA425" i="4"/>
  <c r="AO53" i="4"/>
  <c r="AX23" i="4"/>
  <c r="AZ53" i="4"/>
  <c r="AZ34" i="4"/>
  <c r="AK425" i="4"/>
  <c r="AN425" i="4"/>
  <c r="AY425" i="4"/>
  <c r="AL15" i="4"/>
  <c r="AL23" i="4" s="1"/>
  <c r="AL425" i="4"/>
  <c r="AP15" i="4"/>
  <c r="AP23" i="4" s="1"/>
  <c r="AP425" i="4"/>
  <c r="AX425" i="4"/>
  <c r="AK23" i="4"/>
  <c r="AB425" i="4"/>
  <c r="AB23" i="4"/>
  <c r="AB53" i="4"/>
  <c r="AK53" i="4"/>
  <c r="AX53" i="4"/>
  <c r="AI53" i="4"/>
  <c r="U425" i="4"/>
  <c r="S23" i="4"/>
  <c r="AH53" i="4"/>
  <c r="J34" i="4"/>
  <c r="U23" i="4"/>
  <c r="N425" i="4"/>
  <c r="AE425" i="4"/>
  <c r="M433" i="4"/>
  <c r="M434" i="4" s="1"/>
  <c r="M49" i="4" s="1"/>
  <c r="M53" i="4" s="1"/>
  <c r="AA53" i="4"/>
  <c r="N23" i="4"/>
  <c r="V425" i="4"/>
  <c r="AH425" i="4"/>
  <c r="H23" i="4"/>
  <c r="Y53" i="4"/>
  <c r="S425" i="4"/>
  <c r="U53" i="4"/>
  <c r="X23" i="4"/>
  <c r="X425" i="4"/>
  <c r="O425" i="4"/>
  <c r="Y425" i="4"/>
  <c r="V53" i="4"/>
  <c r="T425" i="4"/>
  <c r="Q425" i="4"/>
  <c r="AE53" i="4"/>
  <c r="T53" i="4"/>
  <c r="X53" i="4"/>
  <c r="R23" i="4"/>
  <c r="W53" i="4"/>
  <c r="S53" i="4"/>
  <c r="Z53" i="4"/>
  <c r="Z34" i="4"/>
  <c r="D23" i="4"/>
  <c r="P425" i="4"/>
  <c r="R425" i="4"/>
  <c r="U34" i="4"/>
  <c r="P53" i="4"/>
  <c r="O53" i="4"/>
  <c r="I433" i="4"/>
  <c r="I434" i="4" s="1"/>
  <c r="I49" i="4" s="1"/>
  <c r="I53" i="4" s="1"/>
  <c r="N53" i="4"/>
  <c r="J53" i="4"/>
  <c r="J425" i="4"/>
  <c r="H53" i="4"/>
  <c r="D425" i="4"/>
  <c r="D45" i="4"/>
  <c r="H425" i="4"/>
  <c r="Q53" i="4"/>
  <c r="R53" i="4"/>
  <c r="D53" i="4" l="1"/>
  <c r="C462" i="4" l="1"/>
  <c r="C421" i="4"/>
  <c r="F506" i="1" l="1"/>
  <c r="F507" i="1"/>
  <c r="F348" i="1"/>
  <c r="F349" i="1"/>
  <c r="F350" i="1"/>
  <c r="G296" i="1"/>
  <c r="AV286" i="4"/>
  <c r="AW286" i="4"/>
  <c r="D347" i="1" l="1"/>
  <c r="D350" i="1"/>
  <c r="E348" i="1"/>
  <c r="D348" i="1" s="1"/>
  <c r="F241" i="1"/>
  <c r="BD33" i="4" l="1"/>
  <c r="BD37" i="4" s="1"/>
  <c r="BD27" i="4" l="1"/>
  <c r="BD30" i="4" s="1"/>
  <c r="BD39" i="4" s="1"/>
  <c r="BD41" i="4" s="1"/>
  <c r="BD501" i="4"/>
  <c r="G12" i="17"/>
  <c r="G28" i="17" s="1"/>
  <c r="G26" i="17"/>
  <c r="I26" i="17" s="1"/>
  <c r="E32" i="17"/>
  <c r="E34" i="17" s="1"/>
  <c r="I28" i="17" l="1"/>
  <c r="I32" i="17" s="1"/>
  <c r="Q30" i="14" l="1"/>
  <c r="O31" i="14" l="1"/>
  <c r="J31" i="14"/>
  <c r="H31" i="14"/>
  <c r="Q31" i="14"/>
  <c r="L30" i="14"/>
  <c r="L31" i="14" s="1"/>
  <c r="L20" i="14"/>
  <c r="F18" i="6"/>
  <c r="D26" i="6"/>
  <c r="H37" i="14" l="1"/>
  <c r="M30" i="14"/>
  <c r="A36" i="3" l="1"/>
  <c r="F503" i="1" l="1"/>
  <c r="I24" i="20" l="1"/>
  <c r="F486" i="1" l="1"/>
  <c r="E428" i="1" l="1"/>
  <c r="D428" i="1" s="1"/>
  <c r="E487" i="1"/>
  <c r="D487" i="1" s="1"/>
  <c r="E488" i="1"/>
  <c r="D488" i="1" s="1"/>
  <c r="E483" i="1"/>
  <c r="D483" i="1" s="1"/>
  <c r="E398" i="1" l="1"/>
  <c r="D398" i="1" s="1"/>
  <c r="E397" i="1"/>
  <c r="D397" i="1" s="1"/>
  <c r="E405" i="1"/>
  <c r="D405" i="1" s="1"/>
  <c r="C51" i="5"/>
  <c r="W39" i="7" l="1"/>
  <c r="U39" i="7"/>
  <c r="W37" i="7"/>
  <c r="U37" i="7"/>
  <c r="Y37" i="7" s="1"/>
  <c r="W35" i="7"/>
  <c r="U35" i="7"/>
  <c r="W33" i="7"/>
  <c r="U33" i="7"/>
  <c r="Y33" i="7" s="1"/>
  <c r="W31" i="7"/>
  <c r="U31" i="7"/>
  <c r="W29" i="7"/>
  <c r="U29" i="7"/>
  <c r="W27" i="7"/>
  <c r="U27" i="7"/>
  <c r="W25" i="7"/>
  <c r="U25" i="7"/>
  <c r="W23" i="7"/>
  <c r="U23" i="7"/>
  <c r="W21" i="7"/>
  <c r="U21" i="7"/>
  <c r="W19" i="7"/>
  <c r="U19" i="7"/>
  <c r="W17" i="7"/>
  <c r="U17" i="7"/>
  <c r="Y17" i="7" s="1"/>
  <c r="S42" i="7"/>
  <c r="Q42" i="7"/>
  <c r="O42" i="7"/>
  <c r="M42" i="7"/>
  <c r="C495" i="1" s="1"/>
  <c r="K42" i="7"/>
  <c r="I42" i="7"/>
  <c r="G42" i="7"/>
  <c r="C493" i="1"/>
  <c r="C496" i="1" l="1"/>
  <c r="Y27" i="7"/>
  <c r="C494" i="1"/>
  <c r="Y31" i="7"/>
  <c r="Y35" i="7"/>
  <c r="Y39" i="7"/>
  <c r="Y21" i="7"/>
  <c r="Y25" i="7"/>
  <c r="Y19" i="7"/>
  <c r="Y23" i="7"/>
  <c r="C228" i="1"/>
  <c r="C40" i="1" s="1"/>
  <c r="Y29" i="7"/>
  <c r="U42" i="7"/>
  <c r="W42" i="7"/>
  <c r="Y42" i="7" l="1"/>
  <c r="C165" i="1"/>
  <c r="F192" i="1" l="1"/>
  <c r="I27" i="20" l="1"/>
  <c r="H27" i="20"/>
  <c r="F27" i="20"/>
  <c r="E27" i="20"/>
  <c r="F12" i="19"/>
  <c r="H24" i="20"/>
  <c r="F24" i="20"/>
  <c r="F15" i="19" s="1"/>
  <c r="F34" i="19" s="1"/>
  <c r="E24" i="20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4" i="20" s="1"/>
  <c r="A27" i="20" s="1"/>
  <c r="L36" i="19"/>
  <c r="L40" i="19" s="1"/>
  <c r="M33" i="19"/>
  <c r="M31" i="19"/>
  <c r="H31" i="19"/>
  <c r="H30" i="19"/>
  <c r="N30" i="19" s="1"/>
  <c r="G26" i="19"/>
  <c r="H24" i="19"/>
  <c r="H23" i="19"/>
  <c r="H22" i="19"/>
  <c r="G15" i="19"/>
  <c r="G12" i="19"/>
  <c r="B12" i="19"/>
  <c r="B15" i="19" s="1"/>
  <c r="B22" i="19" s="1"/>
  <c r="B23" i="19" s="1"/>
  <c r="B24" i="19" s="1"/>
  <c r="B26" i="19" s="1"/>
  <c r="B30" i="19" s="1"/>
  <c r="B31" i="19" s="1"/>
  <c r="B33" i="19" s="1"/>
  <c r="B34" i="19" s="1"/>
  <c r="B35" i="19" s="1"/>
  <c r="B36" i="19" s="1"/>
  <c r="B38" i="19" s="1"/>
  <c r="B40" i="19" s="1"/>
  <c r="B42" i="19" s="1"/>
  <c r="G10" i="19"/>
  <c r="D7" i="19"/>
  <c r="F7" i="19" s="1"/>
  <c r="P35" i="18"/>
  <c r="O35" i="18"/>
  <c r="N35" i="18"/>
  <c r="M35" i="18"/>
  <c r="L35" i="18"/>
  <c r="K35" i="18"/>
  <c r="J35" i="18"/>
  <c r="I35" i="18"/>
  <c r="H35" i="18"/>
  <c r="G35" i="18"/>
  <c r="F35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E36" i="18" s="1"/>
  <c r="P30" i="18"/>
  <c r="O30" i="18"/>
  <c r="N30" i="18"/>
  <c r="M30" i="18"/>
  <c r="L30" i="18"/>
  <c r="K30" i="18"/>
  <c r="J30" i="18"/>
  <c r="I30" i="18"/>
  <c r="H30" i="18"/>
  <c r="G30" i="18"/>
  <c r="F30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E31" i="18" s="1"/>
  <c r="N18" i="18"/>
  <c r="N24" i="18" s="1"/>
  <c r="P18" i="18"/>
  <c r="P24" i="18" s="1"/>
  <c r="O18" i="18"/>
  <c r="O24" i="18" s="1"/>
  <c r="M18" i="18"/>
  <c r="M24" i="18" s="1"/>
  <c r="L18" i="18"/>
  <c r="L24" i="18" s="1"/>
  <c r="K18" i="18"/>
  <c r="K24" i="18" s="1"/>
  <c r="J18" i="18"/>
  <c r="J24" i="18" s="1"/>
  <c r="I18" i="18"/>
  <c r="I24" i="18" s="1"/>
  <c r="H18" i="18"/>
  <c r="H24" i="18" s="1"/>
  <c r="G18" i="18"/>
  <c r="G24" i="18" s="1"/>
  <c r="F18" i="18"/>
  <c r="Q14" i="18"/>
  <c r="Q15" i="18" s="1"/>
  <c r="B11" i="18"/>
  <c r="B14" i="18" s="1"/>
  <c r="B15" i="18" s="1"/>
  <c r="B16" i="18" s="1"/>
  <c r="B17" i="18" s="1"/>
  <c r="B18" i="18" s="1"/>
  <c r="B25" i="18" s="1"/>
  <c r="B29" i="18" s="1"/>
  <c r="B30" i="18" s="1"/>
  <c r="B31" i="18" s="1"/>
  <c r="B32" i="18" s="1"/>
  <c r="B34" i="18" s="1"/>
  <c r="B35" i="18" s="1"/>
  <c r="B36" i="18" s="1"/>
  <c r="B37" i="18" s="1"/>
  <c r="B39" i="18" s="1"/>
  <c r="B40" i="18" s="1"/>
  <c r="B42" i="18" s="1"/>
  <c r="B44" i="18" s="1"/>
  <c r="B45" i="18" s="1"/>
  <c r="B47" i="18" s="1"/>
  <c r="H31" i="18" l="1"/>
  <c r="L31" i="18"/>
  <c r="P31" i="18"/>
  <c r="F24" i="18"/>
  <c r="Q24" i="18" s="1"/>
  <c r="Q25" i="18" s="1"/>
  <c r="Q18" i="18"/>
  <c r="Q19" i="18" s="1"/>
  <c r="J36" i="18"/>
  <c r="N31" i="19"/>
  <c r="H26" i="19"/>
  <c r="F31" i="18"/>
  <c r="J31" i="18"/>
  <c r="J39" i="18" s="1"/>
  <c r="J44" i="18" s="1"/>
  <c r="N31" i="18"/>
  <c r="M36" i="18"/>
  <c r="E39" i="18"/>
  <c r="E44" i="18" s="1"/>
  <c r="F36" i="18"/>
  <c r="N36" i="18"/>
  <c r="N39" i="18" s="1"/>
  <c r="N44" i="18" s="1"/>
  <c r="G36" i="18"/>
  <c r="K36" i="18"/>
  <c r="O36" i="18"/>
  <c r="H36" i="18"/>
  <c r="H39" i="18" s="1"/>
  <c r="H44" i="18" s="1"/>
  <c r="L36" i="18"/>
  <c r="L39" i="18" s="1"/>
  <c r="L44" i="18" s="1"/>
  <c r="P36" i="18"/>
  <c r="I31" i="18"/>
  <c r="M31" i="18"/>
  <c r="G31" i="18"/>
  <c r="K31" i="18"/>
  <c r="K39" i="18" s="1"/>
  <c r="K44" i="18" s="1"/>
  <c r="O31" i="18"/>
  <c r="I36" i="18"/>
  <c r="Q34" i="18"/>
  <c r="F19" i="19"/>
  <c r="G7" i="19"/>
  <c r="H15" i="19"/>
  <c r="J38" i="19" s="1"/>
  <c r="F35" i="19"/>
  <c r="H35" i="19" s="1"/>
  <c r="H12" i="19"/>
  <c r="K38" i="19" s="1"/>
  <c r="Q29" i="18"/>
  <c r="P39" i="18" l="1"/>
  <c r="P44" i="18" s="1"/>
  <c r="F36" i="19"/>
  <c r="F40" i="19" s="1"/>
  <c r="M38" i="19"/>
  <c r="H34" i="19"/>
  <c r="Q31" i="18"/>
  <c r="Q32" i="18" s="1"/>
  <c r="F39" i="18"/>
  <c r="F44" i="18" s="1"/>
  <c r="O39" i="18"/>
  <c r="O44" i="18" s="1"/>
  <c r="M39" i="18"/>
  <c r="M44" i="18" s="1"/>
  <c r="G39" i="18"/>
  <c r="G44" i="18" s="1"/>
  <c r="Q36" i="18"/>
  <c r="Q37" i="18" s="1"/>
  <c r="I39" i="18"/>
  <c r="I44" i="18" s="1"/>
  <c r="J15" i="19"/>
  <c r="G33" i="19"/>
  <c r="G36" i="19" s="1"/>
  <c r="H10" i="19"/>
  <c r="G38" i="19" s="1"/>
  <c r="K35" i="19"/>
  <c r="H7" i="19"/>
  <c r="G19" i="19"/>
  <c r="J12" i="19"/>
  <c r="Q44" i="18" l="1"/>
  <c r="Q45" i="18" s="1"/>
  <c r="F47" i="18" s="1"/>
  <c r="J34" i="19"/>
  <c r="M34" i="19" s="1"/>
  <c r="N34" i="19" s="1"/>
  <c r="G40" i="19"/>
  <c r="Q39" i="18"/>
  <c r="Q40" i="18" s="1"/>
  <c r="F42" i="18" s="1"/>
  <c r="H33" i="19"/>
  <c r="H36" i="19" s="1"/>
  <c r="M35" i="19"/>
  <c r="N35" i="19" s="1"/>
  <c r="K36" i="19"/>
  <c r="K40" i="19" s="1"/>
  <c r="H19" i="19"/>
  <c r="J7" i="19"/>
  <c r="J10" i="19"/>
  <c r="H47" i="18"/>
  <c r="H42" i="18"/>
  <c r="J47" i="18" l="1"/>
  <c r="J36" i="19"/>
  <c r="J40" i="19" s="1"/>
  <c r="H38" i="19"/>
  <c r="N38" i="19" s="1"/>
  <c r="M36" i="19"/>
  <c r="M40" i="19" s="1"/>
  <c r="G12" i="3"/>
  <c r="J42" i="18"/>
  <c r="J19" i="19"/>
  <c r="K7" i="19"/>
  <c r="N33" i="19"/>
  <c r="E123" i="1" l="1"/>
  <c r="D123" i="1" s="1"/>
  <c r="E119" i="1"/>
  <c r="D119" i="1" s="1"/>
  <c r="E115" i="1"/>
  <c r="D115" i="1" s="1"/>
  <c r="E233" i="1"/>
  <c r="D233" i="1" s="1"/>
  <c r="E122" i="1"/>
  <c r="D122" i="1" s="1"/>
  <c r="E118" i="1"/>
  <c r="D118" i="1" s="1"/>
  <c r="E114" i="1"/>
  <c r="D114" i="1" s="1"/>
  <c r="E162" i="1"/>
  <c r="D162" i="1" s="1"/>
  <c r="E121" i="1"/>
  <c r="D121" i="1" s="1"/>
  <c r="E113" i="1"/>
  <c r="D113" i="1" s="1"/>
  <c r="E120" i="1"/>
  <c r="D120" i="1" s="1"/>
  <c r="H40" i="19"/>
  <c r="G10" i="3"/>
  <c r="N36" i="19"/>
  <c r="N40" i="19" s="1"/>
  <c r="K19" i="19"/>
  <c r="L7" i="19"/>
  <c r="E326" i="1" l="1"/>
  <c r="D326" i="1" s="1"/>
  <c r="E184" i="1"/>
  <c r="E429" i="1"/>
  <c r="D429" i="1" s="1"/>
  <c r="I27" i="13"/>
  <c r="M27" i="13"/>
  <c r="E453" i="1"/>
  <c r="D453" i="1" s="1"/>
  <c r="E307" i="1"/>
  <c r="E325" i="1"/>
  <c r="D325" i="1" s="1"/>
  <c r="E316" i="1"/>
  <c r="D316" i="1" s="1"/>
  <c r="E323" i="1"/>
  <c r="D323" i="1" s="1"/>
  <c r="M42" i="19"/>
  <c r="N42" i="19" s="1"/>
  <c r="G14" i="3" s="1"/>
  <c r="E315" i="1" s="1"/>
  <c r="E309" i="1"/>
  <c r="E504" i="1"/>
  <c r="D504" i="1" s="1"/>
  <c r="E317" i="1"/>
  <c r="D317" i="1" s="1"/>
  <c r="E191" i="1"/>
  <c r="D191" i="1" s="1"/>
  <c r="E68" i="1"/>
  <c r="D68" i="1" s="1"/>
  <c r="E72" i="1"/>
  <c r="D72" i="1" s="1"/>
  <c r="E334" i="1"/>
  <c r="D334" i="1" s="1"/>
  <c r="E69" i="1"/>
  <c r="D69" i="1" s="1"/>
  <c r="E322" i="1"/>
  <c r="D322" i="1" s="1"/>
  <c r="E314" i="1"/>
  <c r="D314" i="1" s="1"/>
  <c r="E281" i="1"/>
  <c r="D281" i="1" s="1"/>
  <c r="E210" i="1"/>
  <c r="D210" i="1" s="1"/>
  <c r="E117" i="1"/>
  <c r="D117" i="1" s="1"/>
  <c r="E70" i="1"/>
  <c r="D70" i="1" s="1"/>
  <c r="E455" i="1"/>
  <c r="D455" i="1" s="1"/>
  <c r="E318" i="1"/>
  <c r="D318" i="1" s="1"/>
  <c r="E313" i="1"/>
  <c r="D313" i="1" s="1"/>
  <c r="E278" i="1"/>
  <c r="D278" i="1" s="1"/>
  <c r="E192" i="1"/>
  <c r="D192" i="1" s="1"/>
  <c r="E161" i="1"/>
  <c r="D161" i="1" s="1"/>
  <c r="E116" i="1"/>
  <c r="D116" i="1" s="1"/>
  <c r="E67" i="1"/>
  <c r="D67" i="1" s="1"/>
  <c r="E71" i="1"/>
  <c r="E66" i="1"/>
  <c r="D66" i="1" s="1"/>
  <c r="E493" i="1"/>
  <c r="D493" i="1" s="1"/>
  <c r="E462" i="1"/>
  <c r="E335" i="1"/>
  <c r="D335" i="1" s="1"/>
  <c r="D184" i="1"/>
  <c r="E211" i="1"/>
  <c r="D211" i="1" s="1"/>
  <c r="C116" i="4"/>
  <c r="C69" i="4"/>
  <c r="E240" i="1"/>
  <c r="D240" i="1" s="1"/>
  <c r="C175" i="4"/>
  <c r="C72" i="4"/>
  <c r="C68" i="4"/>
  <c r="C174" i="4"/>
  <c r="C71" i="4"/>
  <c r="C67" i="4"/>
  <c r="C117" i="4"/>
  <c r="C70" i="4"/>
  <c r="M7" i="19"/>
  <c r="L19" i="19"/>
  <c r="E312" i="1" l="1"/>
  <c r="D324" i="1"/>
  <c r="C124" i="4"/>
  <c r="D71" i="1"/>
  <c r="E270" i="1"/>
  <c r="D270" i="1" s="1"/>
  <c r="I36" i="17"/>
  <c r="O27" i="13"/>
  <c r="G14" i="13" s="1"/>
  <c r="E503" i="1"/>
  <c r="D503" i="1" s="1"/>
  <c r="K27" i="13"/>
  <c r="E308" i="1"/>
  <c r="D315" i="1"/>
  <c r="D312" i="1"/>
  <c r="E290" i="1"/>
  <c r="D290" i="1" s="1"/>
  <c r="E319" i="1"/>
  <c r="D319" i="1" s="1"/>
  <c r="E310" i="1"/>
  <c r="D310" i="1" s="1"/>
  <c r="E241" i="1"/>
  <c r="D241" i="1" s="1"/>
  <c r="E239" i="1"/>
  <c r="D239" i="1" s="1"/>
  <c r="B36" i="6"/>
  <c r="D307" i="1"/>
  <c r="D309" i="1"/>
  <c r="G309" i="1"/>
  <c r="M19" i="19"/>
  <c r="N7" i="19"/>
  <c r="N19" i="19" s="1"/>
  <c r="G503" i="1" l="1"/>
  <c r="E320" i="1"/>
  <c r="D308" i="1"/>
  <c r="D320" i="1" s="1"/>
  <c r="G241" i="1"/>
  <c r="F347" i="1"/>
  <c r="G294" i="1"/>
  <c r="G348" i="1" l="1"/>
  <c r="C12" i="5"/>
  <c r="A36" i="17" l="1"/>
  <c r="A38" i="17" s="1"/>
  <c r="C8" i="17"/>
  <c r="E8" i="17" s="1"/>
  <c r="G8" i="17" s="1"/>
  <c r="I8" i="17" s="1"/>
  <c r="F34" i="15"/>
  <c r="F36" i="15" s="1"/>
  <c r="A12" i="15"/>
  <c r="A14" i="15" s="1"/>
  <c r="A16" i="15" s="1"/>
  <c r="A18" i="15" s="1"/>
  <c r="A20" i="15" s="1"/>
  <c r="A22" i="15" s="1"/>
  <c r="A24" i="15" s="1"/>
  <c r="A26" i="15" s="1"/>
  <c r="A28" i="15" s="1"/>
  <c r="A30" i="15" s="1"/>
  <c r="A32" i="15" s="1"/>
  <c r="A34" i="15" s="1"/>
  <c r="A36" i="15" s="1"/>
  <c r="A38" i="15" s="1"/>
  <c r="A40" i="15" s="1"/>
  <c r="C8" i="15"/>
  <c r="D8" i="15" s="1"/>
  <c r="F8" i="15" s="1"/>
  <c r="O27" i="14"/>
  <c r="O37" i="14" s="1"/>
  <c r="L19" i="14"/>
  <c r="L18" i="14"/>
  <c r="L17" i="14"/>
  <c r="A19" i="14"/>
  <c r="Q16" i="14"/>
  <c r="B13" i="14"/>
  <c r="D13" i="14" s="1"/>
  <c r="E13" i="14" s="1"/>
  <c r="F13" i="14" s="1"/>
  <c r="G13" i="14" s="1"/>
  <c r="H13" i="14" s="1"/>
  <c r="J13" i="14" s="1"/>
  <c r="L13" i="14" s="1"/>
  <c r="M13" i="14" s="1"/>
  <c r="N13" i="14" s="1"/>
  <c r="O13" i="14" s="1"/>
  <c r="Q13" i="14" s="1"/>
  <c r="S13" i="14" s="1"/>
  <c r="T13" i="14" s="1"/>
  <c r="G15" i="12"/>
  <c r="G13" i="12"/>
  <c r="A13" i="12"/>
  <c r="A15" i="12" s="1"/>
  <c r="A17" i="12" s="1"/>
  <c r="A19" i="12" s="1"/>
  <c r="G11" i="12"/>
  <c r="E9" i="12"/>
  <c r="F9" i="12" s="1"/>
  <c r="G9" i="12" s="1"/>
  <c r="C9" i="12"/>
  <c r="A11" i="11"/>
  <c r="A12" i="11" s="1"/>
  <c r="A14" i="11" s="1"/>
  <c r="A16" i="11" s="1"/>
  <c r="A19" i="11" s="1"/>
  <c r="A21" i="11" s="1"/>
  <c r="A23" i="11" s="1"/>
  <c r="A25" i="11" s="1"/>
  <c r="C7" i="11"/>
  <c r="G7" i="11" s="1"/>
  <c r="A10" i="9"/>
  <c r="A12" i="9" s="1"/>
  <c r="A14" i="9" s="1"/>
  <c r="A16" i="9" s="1"/>
  <c r="A18" i="9" s="1"/>
  <c r="A20" i="9" s="1"/>
  <c r="C6" i="9"/>
  <c r="E6" i="9" s="1"/>
  <c r="A12" i="8"/>
  <c r="C8" i="8"/>
  <c r="E8" i="8" s="1"/>
  <c r="G8" i="8" s="1"/>
  <c r="I8" i="8" s="1"/>
  <c r="L37" i="14" l="1"/>
  <c r="A13" i="8"/>
  <c r="A15" i="8" s="1"/>
  <c r="A18" i="8" s="1"/>
  <c r="A19" i="8" s="1"/>
  <c r="A20" i="8" s="1"/>
  <c r="A21" i="8" s="1"/>
  <c r="A24" i="8" s="1"/>
  <c r="A25" i="8" s="1"/>
  <c r="A26" i="8" s="1"/>
  <c r="A28" i="8" s="1"/>
  <c r="A31" i="8" s="1"/>
  <c r="A32" i="8" s="1"/>
  <c r="A34" i="8" s="1"/>
  <c r="A37" i="8" s="1"/>
  <c r="A38" i="8" s="1"/>
  <c r="A40" i="8" s="1"/>
  <c r="A41" i="8" s="1"/>
  <c r="A44" i="8" s="1"/>
  <c r="A47" i="8" s="1"/>
  <c r="E16" i="11"/>
  <c r="I30" i="17"/>
  <c r="Q37" i="14"/>
  <c r="A20" i="14"/>
  <c r="G17" i="12"/>
  <c r="A30" i="14" l="1"/>
  <c r="C505" i="4"/>
  <c r="I34" i="17"/>
  <c r="I38" i="17" s="1"/>
  <c r="S37" i="14"/>
  <c r="I11" i="10" s="1"/>
  <c r="G11" i="11"/>
  <c r="G14" i="11" s="1"/>
  <c r="G16" i="11" l="1"/>
  <c r="G19" i="11" s="1"/>
  <c r="BB496" i="4"/>
  <c r="D496" i="4"/>
  <c r="D497" i="4" s="1"/>
  <c r="F496" i="4"/>
  <c r="F497" i="4" s="1"/>
  <c r="F33" i="4" s="1"/>
  <c r="F37" i="4" s="1"/>
  <c r="AG496" i="4"/>
  <c r="AG497" i="4" s="1"/>
  <c r="G496" i="4"/>
  <c r="AC496" i="4"/>
  <c r="K496" i="4"/>
  <c r="K27" i="4" s="1"/>
  <c r="K30" i="4" s="1"/>
  <c r="L496" i="4"/>
  <c r="AF496" i="4"/>
  <c r="AF27" i="4" s="1"/>
  <c r="AF30" i="4" s="1"/>
  <c r="AD496" i="4"/>
  <c r="AJ496" i="4"/>
  <c r="E496" i="4"/>
  <c r="H496" i="4"/>
  <c r="V496" i="4"/>
  <c r="O496" i="4"/>
  <c r="AA496" i="4"/>
  <c r="AZ496" i="4"/>
  <c r="AE496" i="4"/>
  <c r="AP496" i="4"/>
  <c r="AR496" i="4"/>
  <c r="AL496" i="4"/>
  <c r="N496" i="4"/>
  <c r="AU496" i="4"/>
  <c r="P496" i="4"/>
  <c r="W496" i="4"/>
  <c r="J496" i="4"/>
  <c r="BE496" i="4"/>
  <c r="S496" i="4"/>
  <c r="U496" i="4"/>
  <c r="AK496" i="4"/>
  <c r="BC496" i="4"/>
  <c r="T496" i="4"/>
  <c r="M496" i="4"/>
  <c r="AH496" i="4"/>
  <c r="I496" i="4"/>
  <c r="Z496" i="4"/>
  <c r="AO496" i="4"/>
  <c r="AX496" i="4"/>
  <c r="AN496" i="4"/>
  <c r="AB496" i="4"/>
  <c r="AI496" i="4"/>
  <c r="AQ496" i="4"/>
  <c r="Q496" i="4"/>
  <c r="Y496" i="4"/>
  <c r="X496" i="4"/>
  <c r="BA496" i="4"/>
  <c r="R496" i="4"/>
  <c r="G21" i="11" l="1"/>
  <c r="G23" i="11" s="1"/>
  <c r="G25" i="11" s="1"/>
  <c r="E18" i="9" s="1"/>
  <c r="AC497" i="4"/>
  <c r="AC33" i="4" s="1"/>
  <c r="AC37" i="4" s="1"/>
  <c r="F27" i="4"/>
  <c r="F30" i="4" s="1"/>
  <c r="F39" i="4" s="1"/>
  <c r="F41" i="4" s="1"/>
  <c r="G497" i="4"/>
  <c r="G33" i="4" s="1"/>
  <c r="G37" i="4" s="1"/>
  <c r="G27" i="4"/>
  <c r="G30" i="4" s="1"/>
  <c r="F501" i="4"/>
  <c r="AC27" i="4"/>
  <c r="AC30" i="4" s="1"/>
  <c r="AG27" i="4"/>
  <c r="AG30" i="4" s="1"/>
  <c r="AG33" i="4"/>
  <c r="AG37" i="4" s="1"/>
  <c r="K497" i="4"/>
  <c r="K33" i="4" s="1"/>
  <c r="K37" i="4" s="1"/>
  <c r="K39" i="4" s="1"/>
  <c r="K41" i="4" s="1"/>
  <c r="L27" i="4"/>
  <c r="L30" i="4" s="1"/>
  <c r="L497" i="4"/>
  <c r="L33" i="4" s="1"/>
  <c r="L37" i="4" s="1"/>
  <c r="AF497" i="4"/>
  <c r="AF33" i="4" s="1"/>
  <c r="AF37" i="4" s="1"/>
  <c r="AF39" i="4" s="1"/>
  <c r="AF41" i="4" s="1"/>
  <c r="AD27" i="4"/>
  <c r="AD30" i="4" s="1"/>
  <c r="AD497" i="4"/>
  <c r="AD33" i="4" s="1"/>
  <c r="AD37" i="4" s="1"/>
  <c r="E27" i="4"/>
  <c r="E30" i="4" s="1"/>
  <c r="E497" i="4"/>
  <c r="E33" i="4" s="1"/>
  <c r="E37" i="4" s="1"/>
  <c r="AJ27" i="4"/>
  <c r="AJ30" i="4" s="1"/>
  <c r="AJ497" i="4"/>
  <c r="AJ33" i="4" s="1"/>
  <c r="AJ37" i="4" s="1"/>
  <c r="BB497" i="4"/>
  <c r="BB33" i="4" s="1"/>
  <c r="BB37" i="4" s="1"/>
  <c r="BB27" i="4"/>
  <c r="BB30" i="4" s="1"/>
  <c r="AQ497" i="4"/>
  <c r="AQ33" i="4" s="1"/>
  <c r="AQ37" i="4" s="1"/>
  <c r="AQ27" i="4"/>
  <c r="AQ30" i="4" s="1"/>
  <c r="AB497" i="4"/>
  <c r="AB33" i="4" s="1"/>
  <c r="AB37" i="4" s="1"/>
  <c r="AB27" i="4"/>
  <c r="AB30" i="4" s="1"/>
  <c r="Z27" i="4"/>
  <c r="Z30" i="4" s="1"/>
  <c r="Z497" i="4"/>
  <c r="Z33" i="4" s="1"/>
  <c r="Z37" i="4" s="1"/>
  <c r="T497" i="4"/>
  <c r="T33" i="4" s="1"/>
  <c r="T37" i="4" s="1"/>
  <c r="T27" i="4"/>
  <c r="T30" i="4" s="1"/>
  <c r="U497" i="4"/>
  <c r="U33" i="4" s="1"/>
  <c r="U37" i="4" s="1"/>
  <c r="U27" i="4"/>
  <c r="U30" i="4" s="1"/>
  <c r="P497" i="4"/>
  <c r="P33" i="4" s="1"/>
  <c r="P37" i="4" s="1"/>
  <c r="P27" i="4"/>
  <c r="P30" i="4" s="1"/>
  <c r="AL497" i="4"/>
  <c r="AL33" i="4" s="1"/>
  <c r="AL37" i="4" s="1"/>
  <c r="AL27" i="4"/>
  <c r="AL30" i="4" s="1"/>
  <c r="AE497" i="4"/>
  <c r="AE33" i="4" s="1"/>
  <c r="AE37" i="4" s="1"/>
  <c r="AE27" i="4"/>
  <c r="AE30" i="4" s="1"/>
  <c r="V497" i="4"/>
  <c r="V33" i="4" s="1"/>
  <c r="V37" i="4" s="1"/>
  <c r="V27" i="4"/>
  <c r="V30" i="4" s="1"/>
  <c r="H497" i="4"/>
  <c r="H33" i="4" s="1"/>
  <c r="H37" i="4" s="1"/>
  <c r="H27" i="4"/>
  <c r="H30" i="4" s="1"/>
  <c r="X497" i="4"/>
  <c r="X33" i="4" s="1"/>
  <c r="X37" i="4" s="1"/>
  <c r="X27" i="4"/>
  <c r="X30" i="4" s="1"/>
  <c r="AN497" i="4"/>
  <c r="AN33" i="4" s="1"/>
  <c r="AN37" i="4" s="1"/>
  <c r="AN27" i="4"/>
  <c r="AN30" i="4" s="1"/>
  <c r="I497" i="4"/>
  <c r="I33" i="4" s="1"/>
  <c r="I37" i="4" s="1"/>
  <c r="I27" i="4"/>
  <c r="I30" i="4" s="1"/>
  <c r="BC497" i="4"/>
  <c r="BC33" i="4" s="1"/>
  <c r="BC37" i="4" s="1"/>
  <c r="BC27" i="4"/>
  <c r="BC30" i="4" s="1"/>
  <c r="S497" i="4"/>
  <c r="S33" i="4" s="1"/>
  <c r="S37" i="4" s="1"/>
  <c r="S27" i="4"/>
  <c r="S30" i="4" s="1"/>
  <c r="J497" i="4"/>
  <c r="J33" i="4" s="1"/>
  <c r="J37" i="4" s="1"/>
  <c r="J27" i="4"/>
  <c r="J30" i="4" s="1"/>
  <c r="AR497" i="4"/>
  <c r="AR33" i="4" s="1"/>
  <c r="AR37" i="4" s="1"/>
  <c r="AR27" i="4"/>
  <c r="AR30" i="4" s="1"/>
  <c r="AZ497" i="4"/>
  <c r="AZ33" i="4" s="1"/>
  <c r="AZ37" i="4" s="1"/>
  <c r="AZ27" i="4"/>
  <c r="AZ30" i="4" s="1"/>
  <c r="R497" i="4"/>
  <c r="R33" i="4" s="1"/>
  <c r="R37" i="4" s="1"/>
  <c r="R27" i="4"/>
  <c r="R30" i="4" s="1"/>
  <c r="Y497" i="4"/>
  <c r="Y33" i="4" s="1"/>
  <c r="Y37" i="4" s="1"/>
  <c r="Y27" i="4"/>
  <c r="Y30" i="4" s="1"/>
  <c r="AI497" i="4"/>
  <c r="AI33" i="4" s="1"/>
  <c r="AI37" i="4" s="1"/>
  <c r="AI27" i="4"/>
  <c r="AI30" i="4" s="1"/>
  <c r="AX497" i="4"/>
  <c r="AX33" i="4" s="1"/>
  <c r="AX37" i="4" s="1"/>
  <c r="AX27" i="4"/>
  <c r="AX30" i="4" s="1"/>
  <c r="AH497" i="4"/>
  <c r="AH33" i="4" s="1"/>
  <c r="AH37" i="4" s="1"/>
  <c r="AH27" i="4"/>
  <c r="AH30" i="4" s="1"/>
  <c r="AT27" i="4"/>
  <c r="AT30" i="4" s="1"/>
  <c r="AT33" i="4"/>
  <c r="AT37" i="4" s="1"/>
  <c r="W497" i="4"/>
  <c r="W33" i="4" s="1"/>
  <c r="W37" i="4" s="1"/>
  <c r="W27" i="4"/>
  <c r="W30" i="4" s="1"/>
  <c r="AU27" i="4"/>
  <c r="AU30" i="4" s="1"/>
  <c r="AU497" i="4"/>
  <c r="AU33" i="4" s="1"/>
  <c r="AU37" i="4" s="1"/>
  <c r="AA497" i="4"/>
  <c r="AA33" i="4" s="1"/>
  <c r="AA37" i="4" s="1"/>
  <c r="AA27" i="4"/>
  <c r="AA30" i="4" s="1"/>
  <c r="BA497" i="4"/>
  <c r="BA33" i="4" s="1"/>
  <c r="BA37" i="4" s="1"/>
  <c r="BA27" i="4"/>
  <c r="BA30" i="4" s="1"/>
  <c r="Q497" i="4"/>
  <c r="Q33" i="4" s="1"/>
  <c r="Q37" i="4" s="1"/>
  <c r="Q27" i="4"/>
  <c r="Q30" i="4" s="1"/>
  <c r="D33" i="4"/>
  <c r="D37" i="4" s="1"/>
  <c r="D27" i="4"/>
  <c r="AO497" i="4"/>
  <c r="AO33" i="4" s="1"/>
  <c r="AO37" i="4" s="1"/>
  <c r="AO27" i="4"/>
  <c r="AO30" i="4" s="1"/>
  <c r="M497" i="4"/>
  <c r="M33" i="4" s="1"/>
  <c r="M37" i="4" s="1"/>
  <c r="M27" i="4"/>
  <c r="M30" i="4" s="1"/>
  <c r="AK497" i="4"/>
  <c r="AK33" i="4" s="1"/>
  <c r="AK37" i="4" s="1"/>
  <c r="AK27" i="4"/>
  <c r="AK30" i="4" s="1"/>
  <c r="BE497" i="4"/>
  <c r="BE33" i="4" s="1"/>
  <c r="BE37" i="4" s="1"/>
  <c r="BE27" i="4"/>
  <c r="BE30" i="4" s="1"/>
  <c r="N497" i="4"/>
  <c r="N33" i="4" s="1"/>
  <c r="N37" i="4" s="1"/>
  <c r="N27" i="4"/>
  <c r="N30" i="4" s="1"/>
  <c r="AP497" i="4"/>
  <c r="AP33" i="4" s="1"/>
  <c r="AP37" i="4" s="1"/>
  <c r="AP27" i="4"/>
  <c r="AP30" i="4" s="1"/>
  <c r="O497" i="4"/>
  <c r="O33" i="4" s="1"/>
  <c r="O37" i="4" s="1"/>
  <c r="O27" i="4"/>
  <c r="O30" i="4" s="1"/>
  <c r="M17" i="10" l="1"/>
  <c r="AC501" i="4"/>
  <c r="AC39" i="4"/>
  <c r="AC41" i="4" s="1"/>
  <c r="J501" i="4"/>
  <c r="G501" i="4"/>
  <c r="G39" i="4"/>
  <c r="G41" i="4" s="1"/>
  <c r="AT501" i="4"/>
  <c r="AG39" i="4"/>
  <c r="AG41" i="4" s="1"/>
  <c r="AG501" i="4"/>
  <c r="E501" i="4"/>
  <c r="AF501" i="4"/>
  <c r="K501" i="4"/>
  <c r="L39" i="4"/>
  <c r="L41" i="4" s="1"/>
  <c r="AU501" i="4"/>
  <c r="L501" i="4"/>
  <c r="AD39" i="4"/>
  <c r="AD41" i="4" s="1"/>
  <c r="AD501" i="4"/>
  <c r="AJ39" i="4"/>
  <c r="AJ41" i="4" s="1"/>
  <c r="W39" i="4"/>
  <c r="W41" i="4" s="1"/>
  <c r="AX39" i="4"/>
  <c r="AX41" i="4" s="1"/>
  <c r="Y39" i="4"/>
  <c r="Y41" i="4" s="1"/>
  <c r="BB39" i="4"/>
  <c r="BB41" i="4" s="1"/>
  <c r="AJ501" i="4"/>
  <c r="E39" i="4"/>
  <c r="E41" i="4" s="1"/>
  <c r="AB39" i="4"/>
  <c r="AB41" i="4" s="1"/>
  <c r="AO39" i="4"/>
  <c r="AO41" i="4" s="1"/>
  <c r="AO501" i="4"/>
  <c r="AZ501" i="4"/>
  <c r="U39" i="4"/>
  <c r="U41" i="4" s="1"/>
  <c r="Z501" i="4"/>
  <c r="AN39" i="4"/>
  <c r="AN41" i="4" s="1"/>
  <c r="V39" i="4"/>
  <c r="V41" i="4" s="1"/>
  <c r="AL39" i="4"/>
  <c r="AL41" i="4" s="1"/>
  <c r="D30" i="4"/>
  <c r="D39" i="4" s="1"/>
  <c r="D41" i="4" s="1"/>
  <c r="O501" i="4"/>
  <c r="AK39" i="4"/>
  <c r="AK41" i="4" s="1"/>
  <c r="AA501" i="4"/>
  <c r="W501" i="4"/>
  <c r="J39" i="4"/>
  <c r="J41" i="4" s="1"/>
  <c r="BC39" i="4"/>
  <c r="BC41" i="4" s="1"/>
  <c r="AN501" i="4"/>
  <c r="AB501" i="4"/>
  <c r="AP39" i="4"/>
  <c r="AP41" i="4" s="1"/>
  <c r="D501" i="4"/>
  <c r="AU39" i="4"/>
  <c r="AU41" i="4" s="1"/>
  <c r="AI501" i="4"/>
  <c r="S501" i="4"/>
  <c r="AE501" i="4"/>
  <c r="U501" i="4"/>
  <c r="BE39" i="4"/>
  <c r="BE41" i="4" s="1"/>
  <c r="Q39" i="4"/>
  <c r="Q41" i="4" s="1"/>
  <c r="AX501" i="4"/>
  <c r="AR39" i="4"/>
  <c r="AR41" i="4" s="1"/>
  <c r="X39" i="4"/>
  <c r="X41" i="4" s="1"/>
  <c r="V501" i="4"/>
  <c r="T39" i="4"/>
  <c r="T41" i="4" s="1"/>
  <c r="Z39" i="4"/>
  <c r="Z41" i="4" s="1"/>
  <c r="AQ501" i="4"/>
  <c r="N501" i="4"/>
  <c r="M501" i="4"/>
  <c r="BA501" i="4"/>
  <c r="AH501" i="4"/>
  <c r="R501" i="4"/>
  <c r="I501" i="4"/>
  <c r="H501" i="4"/>
  <c r="P501" i="4"/>
  <c r="AP501" i="4"/>
  <c r="N39" i="4"/>
  <c r="N41" i="4" s="1"/>
  <c r="AK501" i="4"/>
  <c r="M39" i="4"/>
  <c r="M41" i="4" s="1"/>
  <c r="Q501" i="4"/>
  <c r="BA39" i="4"/>
  <c r="BA41" i="4" s="1"/>
  <c r="AH39" i="4"/>
  <c r="AH41" i="4" s="1"/>
  <c r="Y501" i="4"/>
  <c r="R39" i="4"/>
  <c r="R41" i="4" s="1"/>
  <c r="AR501" i="4"/>
  <c r="BC501" i="4"/>
  <c r="I39" i="4"/>
  <c r="I41" i="4" s="1"/>
  <c r="X501" i="4"/>
  <c r="H39" i="4"/>
  <c r="H41" i="4" s="1"/>
  <c r="AL501" i="4"/>
  <c r="P39" i="4"/>
  <c r="P41" i="4" s="1"/>
  <c r="T501" i="4"/>
  <c r="BB501" i="4"/>
  <c r="O39" i="4"/>
  <c r="O41" i="4" s="1"/>
  <c r="BE501" i="4"/>
  <c r="AA39" i="4"/>
  <c r="AA41" i="4" s="1"/>
  <c r="AT39" i="4"/>
  <c r="AI39" i="4"/>
  <c r="AI41" i="4" s="1"/>
  <c r="AZ39" i="4"/>
  <c r="AZ41" i="4" s="1"/>
  <c r="S39" i="4"/>
  <c r="S41" i="4" s="1"/>
  <c r="AE39" i="4"/>
  <c r="AE41" i="4" s="1"/>
  <c r="AQ39" i="4"/>
  <c r="AQ41" i="4" s="1"/>
  <c r="AV450" i="4"/>
  <c r="AW450" i="4"/>
  <c r="AV442" i="4"/>
  <c r="AW442" i="4"/>
  <c r="AV236" i="4"/>
  <c r="AW236" i="4"/>
  <c r="AV231" i="4"/>
  <c r="AW231" i="4"/>
  <c r="AV186" i="4"/>
  <c r="AW186" i="4"/>
  <c r="F193" i="1"/>
  <c r="C244" i="1"/>
  <c r="C249" i="1"/>
  <c r="C466" i="1"/>
  <c r="C48" i="1" l="1"/>
  <c r="F22" i="6" l="1"/>
  <c r="F20" i="6"/>
  <c r="F16" i="6"/>
  <c r="D12" i="6"/>
  <c r="B12" i="6"/>
  <c r="C333" i="1" s="1"/>
  <c r="F8" i="6"/>
  <c r="E41" i="5"/>
  <c r="E28" i="5"/>
  <c r="E18" i="5"/>
  <c r="I40" i="5"/>
  <c r="I38" i="5"/>
  <c r="M38" i="5" s="1"/>
  <c r="M41" i="5" s="1"/>
  <c r="I37" i="5"/>
  <c r="K37" i="5" s="1"/>
  <c r="I34" i="5"/>
  <c r="K34" i="5" s="1"/>
  <c r="C25" i="5"/>
  <c r="C24" i="5"/>
  <c r="C23" i="5"/>
  <c r="C22" i="5"/>
  <c r="K15" i="5"/>
  <c r="C13" i="5"/>
  <c r="C11" i="5"/>
  <c r="E333" i="1" l="1"/>
  <c r="D333" i="1" s="1"/>
  <c r="F26" i="6"/>
  <c r="F12" i="6"/>
  <c r="D30" i="6"/>
  <c r="D32" i="6" s="1"/>
  <c r="C332" i="1"/>
  <c r="E332" i="1" s="1"/>
  <c r="D332" i="1" s="1"/>
  <c r="E31" i="5"/>
  <c r="E53" i="5" s="1"/>
  <c r="D36" i="6"/>
  <c r="B30" i="6"/>
  <c r="B32" i="6" s="1"/>
  <c r="D73" i="1"/>
  <c r="G45" i="5" l="1"/>
  <c r="G10" i="5"/>
  <c r="G22" i="5"/>
  <c r="G9" i="5"/>
  <c r="F30" i="6"/>
  <c r="G57" i="5"/>
  <c r="G58" i="5"/>
  <c r="G12" i="5"/>
  <c r="I12" i="5" s="1"/>
  <c r="F32" i="6"/>
  <c r="I36" i="5"/>
  <c r="D35" i="1"/>
  <c r="E35" i="1"/>
  <c r="E34" i="1"/>
  <c r="C35" i="1"/>
  <c r="C34" i="1"/>
  <c r="E33" i="1"/>
  <c r="C33" i="1"/>
  <c r="D33" i="1"/>
  <c r="D34" i="1"/>
  <c r="K12" i="5" l="1"/>
  <c r="M12" i="5" s="1"/>
  <c r="K36" i="5"/>
  <c r="G59" i="5"/>
  <c r="AV52" i="4"/>
  <c r="C52" i="4" s="1"/>
  <c r="AW52" i="4"/>
  <c r="AV51" i="4"/>
  <c r="AW51" i="4"/>
  <c r="AV34" i="4"/>
  <c r="AW34" i="4"/>
  <c r="C51" i="4" l="1"/>
  <c r="F464" i="1"/>
  <c r="F271" i="1"/>
  <c r="G271" i="1" s="1"/>
  <c r="G22" i="1"/>
  <c r="F517" i="1" l="1"/>
  <c r="F36" i="1" s="1"/>
  <c r="F516" i="1"/>
  <c r="F508" i="1"/>
  <c r="F505" i="1"/>
  <c r="F504" i="1"/>
  <c r="F501" i="1"/>
  <c r="F493" i="1"/>
  <c r="F40" i="1" s="1"/>
  <c r="F490" i="1"/>
  <c r="F489" i="1"/>
  <c r="F488" i="1"/>
  <c r="F487" i="1"/>
  <c r="F485" i="1"/>
  <c r="F484" i="1"/>
  <c r="F483" i="1"/>
  <c r="F482" i="1"/>
  <c r="F481" i="1"/>
  <c r="F478" i="1"/>
  <c r="F477" i="1"/>
  <c r="F476" i="1"/>
  <c r="F469" i="1"/>
  <c r="F463" i="1"/>
  <c r="F436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13" i="1"/>
  <c r="F414" i="1"/>
  <c r="F415" i="1"/>
  <c r="F406" i="1"/>
  <c r="F407" i="1"/>
  <c r="F408" i="1"/>
  <c r="F435" i="1"/>
  <c r="F419" i="1"/>
  <c r="F405" i="1"/>
  <c r="F397" i="1"/>
  <c r="F398" i="1"/>
  <c r="F399" i="1"/>
  <c r="F400" i="1"/>
  <c r="F381" i="1"/>
  <c r="F382" i="1"/>
  <c r="F383" i="1"/>
  <c r="F384" i="1"/>
  <c r="F385" i="1"/>
  <c r="F386" i="1"/>
  <c r="F387" i="1"/>
  <c r="F388" i="1"/>
  <c r="F389" i="1"/>
  <c r="F390" i="1"/>
  <c r="F396" i="1"/>
  <c r="F380" i="1"/>
  <c r="F369" i="1"/>
  <c r="F370" i="1"/>
  <c r="F371" i="1"/>
  <c r="F372" i="1"/>
  <c r="F373" i="1"/>
  <c r="F374" i="1"/>
  <c r="F375" i="1"/>
  <c r="F376" i="1"/>
  <c r="F358" i="1"/>
  <c r="F359" i="1"/>
  <c r="F360" i="1"/>
  <c r="F361" i="1"/>
  <c r="F362" i="1"/>
  <c r="F368" i="1"/>
  <c r="F356" i="1"/>
  <c r="F342" i="1"/>
  <c r="F345" i="1"/>
  <c r="F346" i="1"/>
  <c r="F351" i="1"/>
  <c r="F352" i="1"/>
  <c r="F341" i="1"/>
  <c r="F333" i="1"/>
  <c r="F334" i="1"/>
  <c r="F335" i="1"/>
  <c r="F332" i="1"/>
  <c r="F323" i="1"/>
  <c r="F324" i="1"/>
  <c r="F325" i="1"/>
  <c r="F326" i="1"/>
  <c r="F308" i="1"/>
  <c r="G308" i="1" s="1"/>
  <c r="F310" i="1"/>
  <c r="F311" i="1"/>
  <c r="F312" i="1"/>
  <c r="F313" i="1"/>
  <c r="F314" i="1"/>
  <c r="F315" i="1"/>
  <c r="F316" i="1"/>
  <c r="F317" i="1"/>
  <c r="F318" i="1"/>
  <c r="F319" i="1"/>
  <c r="F322" i="1"/>
  <c r="F307" i="1"/>
  <c r="F291" i="1"/>
  <c r="F279" i="1"/>
  <c r="F281" i="1"/>
  <c r="F282" i="1"/>
  <c r="F283" i="1"/>
  <c r="F284" i="1"/>
  <c r="F285" i="1"/>
  <c r="F286" i="1"/>
  <c r="F276" i="1"/>
  <c r="F270" i="1"/>
  <c r="F9" i="1"/>
  <c r="F278" i="1"/>
  <c r="F269" i="1"/>
  <c r="F264" i="1"/>
  <c r="F7" i="1" s="1"/>
  <c r="F254" i="1"/>
  <c r="F255" i="1"/>
  <c r="F257" i="1"/>
  <c r="F258" i="1"/>
  <c r="F253" i="1"/>
  <c r="F52" i="1" s="1"/>
  <c r="F240" i="1"/>
  <c r="F242" i="1"/>
  <c r="F243" i="1"/>
  <c r="F248" i="1"/>
  <c r="F233" i="1"/>
  <c r="F234" i="1"/>
  <c r="F235" i="1"/>
  <c r="F232" i="1"/>
  <c r="F161" i="1"/>
  <c r="F162" i="1"/>
  <c r="F163" i="1"/>
  <c r="F164" i="1"/>
  <c r="F160" i="1"/>
  <c r="F223" i="1"/>
  <c r="F219" i="1"/>
  <c r="F215" i="1"/>
  <c r="F211" i="1"/>
  <c r="F222" i="1"/>
  <c r="F218" i="1"/>
  <c r="F214" i="1"/>
  <c r="F195" i="1"/>
  <c r="F194" i="1"/>
  <c r="F185" i="1"/>
  <c r="F186" i="1"/>
  <c r="F187" i="1"/>
  <c r="F146" i="1"/>
  <c r="F148" i="1"/>
  <c r="F149" i="1"/>
  <c r="F150" i="1"/>
  <c r="F151" i="1"/>
  <c r="F184" i="1"/>
  <c r="F145" i="1"/>
  <c r="F128" i="1"/>
  <c r="F129" i="1"/>
  <c r="F130" i="1"/>
  <c r="F131" i="1"/>
  <c r="F132" i="1"/>
  <c r="F133" i="1"/>
  <c r="F134" i="1"/>
  <c r="F135" i="1"/>
  <c r="F136" i="1"/>
  <c r="F137" i="1"/>
  <c r="F138" i="1"/>
  <c r="F140" i="1"/>
  <c r="F141" i="1"/>
  <c r="F114" i="1"/>
  <c r="F115" i="1"/>
  <c r="F116" i="1"/>
  <c r="F117" i="1"/>
  <c r="F118" i="1"/>
  <c r="F119" i="1"/>
  <c r="F120" i="1"/>
  <c r="F121" i="1"/>
  <c r="F122" i="1"/>
  <c r="F123" i="1"/>
  <c r="F127" i="1"/>
  <c r="F113" i="1"/>
  <c r="F109" i="1"/>
  <c r="F98" i="1"/>
  <c r="F99" i="1"/>
  <c r="F100" i="1"/>
  <c r="F101" i="1"/>
  <c r="F102" i="1"/>
  <c r="F103" i="1"/>
  <c r="F108" i="1"/>
  <c r="F97" i="1"/>
  <c r="F87" i="1"/>
  <c r="F88" i="1"/>
  <c r="F89" i="1"/>
  <c r="F90" i="1"/>
  <c r="F91" i="1"/>
  <c r="F92" i="1"/>
  <c r="F93" i="1"/>
  <c r="F78" i="1"/>
  <c r="F79" i="1"/>
  <c r="F80" i="1"/>
  <c r="F81" i="1"/>
  <c r="F82" i="1"/>
  <c r="F67" i="1"/>
  <c r="F68" i="1"/>
  <c r="F69" i="1"/>
  <c r="F70" i="1"/>
  <c r="F71" i="1"/>
  <c r="F72" i="1"/>
  <c r="F73" i="1"/>
  <c r="F61" i="1"/>
  <c r="F86" i="1"/>
  <c r="F66" i="1"/>
  <c r="AW492" i="4"/>
  <c r="AW29" i="4" s="1"/>
  <c r="AV492" i="4"/>
  <c r="AV29" i="4" s="1"/>
  <c r="AW463" i="4"/>
  <c r="AW475" i="4" s="1"/>
  <c r="AW26" i="4" s="1"/>
  <c r="AV463" i="4"/>
  <c r="AV475" i="4" s="1"/>
  <c r="AV26" i="4" s="1"/>
  <c r="AW454" i="4"/>
  <c r="AV454" i="4"/>
  <c r="AW419" i="4"/>
  <c r="AW423" i="4" s="1"/>
  <c r="AW432" i="4" s="1"/>
  <c r="AV419" i="4"/>
  <c r="AV423" i="4" s="1"/>
  <c r="AV432" i="4" s="1"/>
  <c r="AW402" i="4"/>
  <c r="AW19" i="4" s="1"/>
  <c r="AV402" i="4"/>
  <c r="AV19" i="4" s="1"/>
  <c r="AW395" i="4"/>
  <c r="AW20" i="4" s="1"/>
  <c r="AV395" i="4"/>
  <c r="AV20" i="4" s="1"/>
  <c r="AW388" i="4"/>
  <c r="AW18" i="4" s="1"/>
  <c r="AV388" i="4"/>
  <c r="AV18" i="4" s="1"/>
  <c r="AW377" i="4"/>
  <c r="AV377" i="4"/>
  <c r="AW364" i="4"/>
  <c r="AV364" i="4"/>
  <c r="AW349" i="4"/>
  <c r="AV349" i="4"/>
  <c r="AW339" i="4"/>
  <c r="AV339" i="4"/>
  <c r="AW323" i="4"/>
  <c r="AV323" i="4"/>
  <c r="AW314" i="4"/>
  <c r="AV314" i="4"/>
  <c r="AW307" i="4"/>
  <c r="AV307" i="4"/>
  <c r="AW274" i="4"/>
  <c r="AW288" i="4" s="1"/>
  <c r="AV274" i="4"/>
  <c r="AV288" i="4" s="1"/>
  <c r="AW259" i="4"/>
  <c r="AV259" i="4"/>
  <c r="AV246" i="4"/>
  <c r="AW223" i="4"/>
  <c r="AW46" i="4" s="1"/>
  <c r="AV223" i="4"/>
  <c r="AV46" i="4" s="1"/>
  <c r="AW165" i="4"/>
  <c r="AV165" i="4"/>
  <c r="AW214" i="4"/>
  <c r="AV214" i="4"/>
  <c r="AW210" i="4"/>
  <c r="AV210" i="4"/>
  <c r="AW206" i="4"/>
  <c r="AV206" i="4"/>
  <c r="AW202" i="4"/>
  <c r="AV202" i="4"/>
  <c r="AW198" i="4"/>
  <c r="AV198" i="4"/>
  <c r="AW189" i="4"/>
  <c r="AV189" i="4"/>
  <c r="AW178" i="4"/>
  <c r="AV178" i="4"/>
  <c r="AW169" i="4"/>
  <c r="AV169" i="4"/>
  <c r="AW157" i="4"/>
  <c r="AV157" i="4"/>
  <c r="AW142" i="4"/>
  <c r="AV142" i="4"/>
  <c r="AW124" i="4"/>
  <c r="AV124" i="4"/>
  <c r="AW104" i="4"/>
  <c r="AV104" i="4"/>
  <c r="AW94" i="4"/>
  <c r="AV94" i="4"/>
  <c r="AW83" i="4"/>
  <c r="AV83" i="4"/>
  <c r="AW74" i="4"/>
  <c r="AV74" i="4"/>
  <c r="AW62" i="4"/>
  <c r="AV62" i="4"/>
  <c r="AW50" i="4"/>
  <c r="AV50" i="4"/>
  <c r="AW48" i="4"/>
  <c r="AV48" i="4"/>
  <c r="AW47" i="4"/>
  <c r="AV47" i="4"/>
  <c r="AW40" i="4"/>
  <c r="AV40" i="4"/>
  <c r="AW36" i="4"/>
  <c r="AV36" i="4"/>
  <c r="AW35" i="4"/>
  <c r="AV35" i="4"/>
  <c r="AW28" i="4"/>
  <c r="AV28" i="4"/>
  <c r="AW9" i="4"/>
  <c r="AV9" i="4"/>
  <c r="AW8" i="4"/>
  <c r="AV8" i="4"/>
  <c r="AW7" i="4"/>
  <c r="AV7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C48" i="4" l="1"/>
  <c r="A106" i="4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V106" i="4"/>
  <c r="AV171" i="4" s="1"/>
  <c r="AW106" i="4"/>
  <c r="AW171" i="4" s="1"/>
  <c r="F110" i="1"/>
  <c r="C7" i="4"/>
  <c r="F320" i="1"/>
  <c r="F35" i="1"/>
  <c r="G516" i="1"/>
  <c r="AW429" i="4"/>
  <c r="AV429" i="4"/>
  <c r="C50" i="4"/>
  <c r="C36" i="4"/>
  <c r="C35" i="4"/>
  <c r="C8" i="4"/>
  <c r="C40" i="4"/>
  <c r="C28" i="4"/>
  <c r="C46" i="4"/>
  <c r="C29" i="4"/>
  <c r="C9" i="4"/>
  <c r="C47" i="4"/>
  <c r="F228" i="1"/>
  <c r="F344" i="1"/>
  <c r="F343" i="1"/>
  <c r="F498" i="1"/>
  <c r="F290" i="1"/>
  <c r="F299" i="1" s="1"/>
  <c r="C286" i="4"/>
  <c r="AV11" i="4"/>
  <c r="AV290" i="4"/>
  <c r="AW11" i="4"/>
  <c r="AW290" i="4"/>
  <c r="F275" i="1"/>
  <c r="F265" i="1"/>
  <c r="F8" i="1" s="1"/>
  <c r="F156" i="1"/>
  <c r="F152" i="1"/>
  <c r="F155" i="1"/>
  <c r="G163" i="1"/>
  <c r="F153" i="1"/>
  <c r="G161" i="1"/>
  <c r="F154" i="1"/>
  <c r="G162" i="1"/>
  <c r="C450" i="4"/>
  <c r="C189" i="4"/>
  <c r="G347" i="1"/>
  <c r="AV10" i="4"/>
  <c r="AW21" i="4"/>
  <c r="AV351" i="4"/>
  <c r="AV16" i="4" s="1"/>
  <c r="F239" i="1"/>
  <c r="F244" i="1" s="1"/>
  <c r="F48" i="1" s="1"/>
  <c r="C231" i="4"/>
  <c r="F247" i="1"/>
  <c r="F249" i="1" s="1"/>
  <c r="C236" i="4"/>
  <c r="F191" i="1"/>
  <c r="F196" i="1" s="1"/>
  <c r="C186" i="4"/>
  <c r="AW316" i="4"/>
  <c r="AW428" i="4" s="1"/>
  <c r="C454" i="4"/>
  <c r="AV21" i="4"/>
  <c r="C259" i="4"/>
  <c r="F465" i="1"/>
  <c r="F77" i="1"/>
  <c r="C83" i="4"/>
  <c r="AV44" i="4"/>
  <c r="AW10" i="4"/>
  <c r="F210" i="1"/>
  <c r="F229" i="1" s="1"/>
  <c r="F50" i="1" s="1"/>
  <c r="C202" i="4"/>
  <c r="F357" i="1"/>
  <c r="C349" i="4"/>
  <c r="F280" i="1"/>
  <c r="C274" i="4"/>
  <c r="AW191" i="4"/>
  <c r="AW44" i="4"/>
  <c r="C157" i="4"/>
  <c r="F147" i="1"/>
  <c r="C165" i="4"/>
  <c r="AV216" i="4"/>
  <c r="AV316" i="4"/>
  <c r="AV428" i="4" s="1"/>
  <c r="AW351" i="4"/>
  <c r="AW16" i="4" s="1"/>
  <c r="AW379" i="4"/>
  <c r="F60" i="1"/>
  <c r="C62" i="4"/>
  <c r="C210" i="4"/>
  <c r="F412" i="1"/>
  <c r="C402" i="4"/>
  <c r="AV379" i="4"/>
  <c r="C395" i="4"/>
  <c r="F461" i="1"/>
  <c r="F462" i="1"/>
  <c r="AW431" i="4"/>
  <c r="C169" i="4"/>
  <c r="C206" i="4"/>
  <c r="F256" i="1"/>
  <c r="F51" i="1" s="1"/>
  <c r="C339" i="4"/>
  <c r="C94" i="4"/>
  <c r="C142" i="4"/>
  <c r="F139" i="1"/>
  <c r="C198" i="4"/>
  <c r="C214" i="4"/>
  <c r="C223" i="4"/>
  <c r="C364" i="4"/>
  <c r="F377" i="1"/>
  <c r="C492" i="4"/>
  <c r="F502" i="1"/>
  <c r="C388" i="4"/>
  <c r="C178" i="4"/>
  <c r="C246" i="4"/>
  <c r="C74" i="4"/>
  <c r="C463" i="4"/>
  <c r="C475" i="4" s="1"/>
  <c r="C314" i="4"/>
  <c r="C377" i="4"/>
  <c r="C323" i="4"/>
  <c r="C419" i="4"/>
  <c r="C423" i="4" s="1"/>
  <c r="AV191" i="4"/>
  <c r="AW216" i="4"/>
  <c r="AV431" i="4"/>
  <c r="C19" i="4"/>
  <c r="C20" i="4"/>
  <c r="C26" i="4"/>
  <c r="C44" i="4" l="1"/>
  <c r="C106" i="4"/>
  <c r="C171" i="4" s="1"/>
  <c r="F28" i="1"/>
  <c r="G498" i="1"/>
  <c r="C288" i="4"/>
  <c r="C290" i="4" s="1"/>
  <c r="AV325" i="4"/>
  <c r="AW12" i="4"/>
  <c r="AV12" i="4"/>
  <c r="AW325" i="4"/>
  <c r="AW15" i="4" s="1"/>
  <c r="AW43" i="4"/>
  <c r="AW45" i="4" s="1"/>
  <c r="AV43" i="4"/>
  <c r="F165" i="1"/>
  <c r="F47" i="1"/>
  <c r="AV193" i="4"/>
  <c r="AV248" i="4" s="1"/>
  <c r="C379" i="4"/>
  <c r="C216" i="4"/>
  <c r="C351" i="4"/>
  <c r="F466" i="1"/>
  <c r="C191" i="4"/>
  <c r="AV430" i="4"/>
  <c r="AV433" i="4" s="1"/>
  <c r="AV434" i="4" s="1"/>
  <c r="AV49" i="4" s="1"/>
  <c r="AV17" i="4"/>
  <c r="AW456" i="4"/>
  <c r="AW25" i="4" s="1"/>
  <c r="AW430" i="4"/>
  <c r="AW433" i="4" s="1"/>
  <c r="AW434" i="4" s="1"/>
  <c r="AW49" i="4" s="1"/>
  <c r="AW17" i="4"/>
  <c r="C316" i="4"/>
  <c r="C325" i="4" s="1"/>
  <c r="AV456" i="4"/>
  <c r="AV25" i="4" s="1"/>
  <c r="C428" i="4"/>
  <c r="C11" i="4"/>
  <c r="C432" i="4"/>
  <c r="C21" i="4"/>
  <c r="C49" i="4" l="1"/>
  <c r="C53" i="4" s="1"/>
  <c r="AV45" i="4"/>
  <c r="C45" i="4" s="1"/>
  <c r="C43" i="4"/>
  <c r="AW53" i="4"/>
  <c r="C425" i="4"/>
  <c r="C430" i="4"/>
  <c r="F446" i="1" s="1"/>
  <c r="F448" i="1"/>
  <c r="C10" i="4"/>
  <c r="AW193" i="4"/>
  <c r="AW248" i="4" s="1"/>
  <c r="AW425" i="4"/>
  <c r="C193" i="4"/>
  <c r="C248" i="4" s="1"/>
  <c r="AW23" i="4"/>
  <c r="AW496" i="4" s="1"/>
  <c r="AW497" i="4" s="1"/>
  <c r="AW33" i="4" s="1"/>
  <c r="AW37" i="4" s="1"/>
  <c r="C17" i="4"/>
  <c r="AV15" i="4"/>
  <c r="AV23" i="4" s="1"/>
  <c r="AV496" i="4" s="1"/>
  <c r="AV425" i="4"/>
  <c r="C47" i="1"/>
  <c r="C15" i="4" l="1"/>
  <c r="F444" i="1"/>
  <c r="C12" i="4"/>
  <c r="AV497" i="4"/>
  <c r="AV33" i="4" s="1"/>
  <c r="AV37" i="4" s="1"/>
  <c r="AV27" i="4"/>
  <c r="AV30" i="4" s="1"/>
  <c r="AW27" i="4"/>
  <c r="AW30" i="4" s="1"/>
  <c r="AW39" i="4" s="1"/>
  <c r="AW41" i="4" s="1"/>
  <c r="AW501" i="4"/>
  <c r="G51" i="1"/>
  <c r="D462" i="1"/>
  <c r="AV39" i="4" l="1"/>
  <c r="AV41" i="4" s="1"/>
  <c r="AV501" i="4"/>
  <c r="C458" i="1"/>
  <c r="D415" i="1" l="1"/>
  <c r="D412" i="1"/>
  <c r="A501" i="4" l="1"/>
  <c r="C8" i="1"/>
  <c r="A8" i="1"/>
  <c r="A9" i="1" s="1"/>
  <c r="A10" i="1" s="1"/>
  <c r="C9" i="1"/>
  <c r="D8" i="1" l="1"/>
  <c r="G265" i="1" l="1"/>
  <c r="E8" i="1"/>
  <c r="G8" i="1" s="1"/>
  <c r="G270" i="1" l="1"/>
  <c r="C169" i="1" l="1"/>
  <c r="C199" i="1"/>
  <c r="C196" i="1" l="1"/>
  <c r="C188" i="1"/>
  <c r="E74" i="1" l="1"/>
  <c r="C26" i="5" l="1"/>
  <c r="C16" i="5"/>
  <c r="C14" i="5"/>
  <c r="C9" i="5" l="1"/>
  <c r="C28" i="5"/>
  <c r="C44" i="5"/>
  <c r="K44" i="5" s="1"/>
  <c r="G39" i="5"/>
  <c r="C50" i="5"/>
  <c r="C409" i="1"/>
  <c r="C48" i="5" s="1"/>
  <c r="K48" i="5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E518" i="1"/>
  <c r="G517" i="1"/>
  <c r="C36" i="1"/>
  <c r="D27" i="1"/>
  <c r="G502" i="1"/>
  <c r="C28" i="1"/>
  <c r="G483" i="1"/>
  <c r="G429" i="1"/>
  <c r="G314" i="1"/>
  <c r="G276" i="1"/>
  <c r="G275" i="1"/>
  <c r="G257" i="1"/>
  <c r="G256" i="1"/>
  <c r="G254" i="1"/>
  <c r="G211" i="1"/>
  <c r="G137" i="1"/>
  <c r="G129" i="1"/>
  <c r="G128" i="1"/>
  <c r="G127" i="1"/>
  <c r="E83" i="1"/>
  <c r="D83" i="1"/>
  <c r="G82" i="1"/>
  <c r="G81" i="1"/>
  <c r="G80" i="1"/>
  <c r="G79" i="1"/>
  <c r="G78" i="1"/>
  <c r="E36" i="1"/>
  <c r="G36" i="1" s="1"/>
  <c r="E26" i="8" s="1"/>
  <c r="I26" i="8" s="1"/>
  <c r="G35" i="1"/>
  <c r="E28" i="1"/>
  <c r="G28" i="1" s="1"/>
  <c r="E27" i="1"/>
  <c r="C7" i="1"/>
  <c r="A110" i="1" l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I50" i="5"/>
  <c r="K50" i="5"/>
  <c r="G51" i="5"/>
  <c r="I51" i="5" s="1"/>
  <c r="I22" i="5"/>
  <c r="K22" i="5" s="1"/>
  <c r="D413" i="1"/>
  <c r="D416" i="1" s="1"/>
  <c r="D19" i="1" s="1"/>
  <c r="C18" i="5"/>
  <c r="C31" i="5" s="1"/>
  <c r="G15" i="5"/>
  <c r="G44" i="5"/>
  <c r="I44" i="5" s="1"/>
  <c r="G11" i="5"/>
  <c r="G25" i="5"/>
  <c r="G13" i="5"/>
  <c r="G14" i="5"/>
  <c r="G48" i="5"/>
  <c r="G23" i="5"/>
  <c r="G26" i="5"/>
  <c r="G46" i="5"/>
  <c r="G16" i="5"/>
  <c r="G24" i="5"/>
  <c r="G47" i="5"/>
  <c r="G462" i="1"/>
  <c r="F188" i="1"/>
  <c r="G488" i="1"/>
  <c r="G504" i="1"/>
  <c r="C27" i="1"/>
  <c r="D36" i="1"/>
  <c r="G117" i="1"/>
  <c r="G121" i="1"/>
  <c r="G240" i="1"/>
  <c r="G114" i="1"/>
  <c r="G118" i="1"/>
  <c r="G122" i="1"/>
  <c r="G233" i="1"/>
  <c r="G98" i="1"/>
  <c r="G210" i="1"/>
  <c r="D28" i="1"/>
  <c r="F104" i="1"/>
  <c r="F272" i="1"/>
  <c r="F11" i="1" s="1"/>
  <c r="G66" i="1"/>
  <c r="G87" i="1"/>
  <c r="G91" i="1"/>
  <c r="G99" i="1"/>
  <c r="G232" i="1"/>
  <c r="G281" i="1"/>
  <c r="G487" i="1"/>
  <c r="G70" i="1"/>
  <c r="F83" i="1"/>
  <c r="G67" i="1"/>
  <c r="G116" i="1"/>
  <c r="G120" i="1"/>
  <c r="F220" i="1"/>
  <c r="G258" i="1"/>
  <c r="G333" i="1"/>
  <c r="G255" i="1"/>
  <c r="G71" i="1"/>
  <c r="F94" i="1"/>
  <c r="G89" i="1"/>
  <c r="G93" i="1"/>
  <c r="G115" i="1"/>
  <c r="G119" i="1"/>
  <c r="G317" i="1"/>
  <c r="E94" i="1"/>
  <c r="G68" i="1"/>
  <c r="G73" i="1"/>
  <c r="C83" i="1"/>
  <c r="G86" i="1"/>
  <c r="G90" i="1"/>
  <c r="G101" i="1"/>
  <c r="G102" i="1"/>
  <c r="E37" i="1"/>
  <c r="G72" i="1"/>
  <c r="F74" i="1"/>
  <c r="G77" i="1"/>
  <c r="G83" i="1" s="1"/>
  <c r="G88" i="1"/>
  <c r="G92" i="1"/>
  <c r="G103" i="1"/>
  <c r="E104" i="1"/>
  <c r="G100" i="1"/>
  <c r="F124" i="1"/>
  <c r="F259" i="1"/>
  <c r="F236" i="1"/>
  <c r="F46" i="1" s="1"/>
  <c r="F287" i="1"/>
  <c r="E336" i="1"/>
  <c r="G335" i="1"/>
  <c r="F416" i="1"/>
  <c r="F19" i="1" s="1"/>
  <c r="G334" i="1"/>
  <c r="F378" i="1"/>
  <c r="F479" i="1"/>
  <c r="F491" i="1" s="1"/>
  <c r="F26" i="1" s="1"/>
  <c r="D518" i="1"/>
  <c r="F216" i="1"/>
  <c r="F363" i="1"/>
  <c r="D104" i="1"/>
  <c r="G113" i="1"/>
  <c r="F142" i="1"/>
  <c r="F175" i="1" s="1"/>
  <c r="F157" i="1"/>
  <c r="E212" i="1"/>
  <c r="G239" i="1"/>
  <c r="G290" i="1"/>
  <c r="G184" i="1"/>
  <c r="F62" i="1"/>
  <c r="C37" i="1"/>
  <c r="F208" i="1"/>
  <c r="D94" i="1"/>
  <c r="G97" i="1"/>
  <c r="F212" i="1"/>
  <c r="F224" i="1"/>
  <c r="G278" i="1"/>
  <c r="F353" i="1"/>
  <c r="F433" i="1"/>
  <c r="F336" i="1"/>
  <c r="F409" i="1"/>
  <c r="F20" i="1" s="1"/>
  <c r="G505" i="1"/>
  <c r="G332" i="1"/>
  <c r="F391" i="1"/>
  <c r="F402" i="1"/>
  <c r="F18" i="1" s="1"/>
  <c r="F470" i="1"/>
  <c r="G412" i="1"/>
  <c r="F509" i="1"/>
  <c r="F29" i="1" s="1"/>
  <c r="E106" i="1" l="1"/>
  <c r="F106" i="1"/>
  <c r="F181" i="1" s="1"/>
  <c r="I11" i="5"/>
  <c r="M11" i="5" s="1"/>
  <c r="F226" i="1"/>
  <c r="F437" i="1"/>
  <c r="F21" i="1" s="1"/>
  <c r="G428" i="1"/>
  <c r="F177" i="1"/>
  <c r="F173" i="1"/>
  <c r="G312" i="1"/>
  <c r="G28" i="5"/>
  <c r="G41" i="5"/>
  <c r="I39" i="5"/>
  <c r="I15" i="5"/>
  <c r="G18" i="5"/>
  <c r="I14" i="5"/>
  <c r="K14" i="5" s="1"/>
  <c r="G413" i="1"/>
  <c r="I24" i="5"/>
  <c r="K24" i="5" s="1"/>
  <c r="M24" i="5" s="1"/>
  <c r="M28" i="5" s="1"/>
  <c r="I26" i="5"/>
  <c r="K26" i="5" s="1"/>
  <c r="I13" i="5"/>
  <c r="I16" i="5"/>
  <c r="M16" i="5" s="1"/>
  <c r="I23" i="5"/>
  <c r="K23" i="5" s="1"/>
  <c r="I10" i="5"/>
  <c r="M10" i="5" s="1"/>
  <c r="I25" i="5"/>
  <c r="K25" i="5" s="1"/>
  <c r="I9" i="5"/>
  <c r="K9" i="5" s="1"/>
  <c r="I48" i="5"/>
  <c r="F365" i="1"/>
  <c r="F16" i="1" s="1"/>
  <c r="C46" i="1"/>
  <c r="C220" i="1"/>
  <c r="D37" i="1"/>
  <c r="C20" i="1"/>
  <c r="G212" i="1"/>
  <c r="F301" i="1"/>
  <c r="C94" i="1"/>
  <c r="G94" i="1"/>
  <c r="C301" i="1"/>
  <c r="C303" i="1" s="1"/>
  <c r="D336" i="1"/>
  <c r="C62" i="1"/>
  <c r="G336" i="1"/>
  <c r="C104" i="1"/>
  <c r="C106" i="1" s="1"/>
  <c r="C433" i="1"/>
  <c r="C437" i="1" s="1"/>
  <c r="C378" i="1"/>
  <c r="C45" i="5" s="1"/>
  <c r="C336" i="1"/>
  <c r="C208" i="1"/>
  <c r="F393" i="1"/>
  <c r="F17" i="1" s="1"/>
  <c r="G104" i="1"/>
  <c r="C212" i="1"/>
  <c r="D212" i="1"/>
  <c r="C479" i="1"/>
  <c r="C491" i="1" s="1"/>
  <c r="C157" i="1"/>
  <c r="C391" i="1"/>
  <c r="C46" i="5" s="1"/>
  <c r="C216" i="1"/>
  <c r="C29" i="1"/>
  <c r="C224" i="1"/>
  <c r="C402" i="1"/>
  <c r="C47" i="5" s="1"/>
  <c r="F327" i="1"/>
  <c r="F394" i="1" s="1"/>
  <c r="C142" i="1"/>
  <c r="C175" i="1" s="1"/>
  <c r="F171" i="1" l="1"/>
  <c r="F43" i="1" s="1"/>
  <c r="F179" i="1"/>
  <c r="K28" i="5"/>
  <c r="K13" i="5"/>
  <c r="K18" i="5" s="1"/>
  <c r="K39" i="5"/>
  <c r="K41" i="5" s="1"/>
  <c r="I41" i="5"/>
  <c r="I45" i="5"/>
  <c r="K45" i="5"/>
  <c r="I47" i="5"/>
  <c r="K47" i="5"/>
  <c r="I46" i="5"/>
  <c r="K46" i="5"/>
  <c r="F329" i="1"/>
  <c r="F338" i="1" s="1"/>
  <c r="G310" i="1"/>
  <c r="G31" i="5"/>
  <c r="G53" i="5" s="1"/>
  <c r="I28" i="5"/>
  <c r="G324" i="1"/>
  <c r="G316" i="1"/>
  <c r="G319" i="1"/>
  <c r="G311" i="1"/>
  <c r="G323" i="1"/>
  <c r="G315" i="1"/>
  <c r="C26" i="1"/>
  <c r="I18" i="5"/>
  <c r="G325" i="1"/>
  <c r="G326" i="1"/>
  <c r="G318" i="1"/>
  <c r="C11" i="1"/>
  <c r="F10" i="1"/>
  <c r="F12" i="1" s="1"/>
  <c r="C18" i="1"/>
  <c r="C21" i="1"/>
  <c r="C448" i="1"/>
  <c r="F303" i="1"/>
  <c r="F44" i="1"/>
  <c r="C393" i="1"/>
  <c r="C446" i="1" s="1"/>
  <c r="F201" i="1"/>
  <c r="G109" i="1"/>
  <c r="K31" i="5" l="1"/>
  <c r="M13" i="5"/>
  <c r="M18" i="5" s="1"/>
  <c r="M31" i="5" s="1"/>
  <c r="M53" i="5" s="1"/>
  <c r="F45" i="1"/>
  <c r="F203" i="1"/>
  <c r="F261" i="1" s="1"/>
  <c r="I31" i="5"/>
  <c r="G307" i="1"/>
  <c r="F15" i="1"/>
  <c r="F439" i="1"/>
  <c r="F441" i="1" s="1"/>
  <c r="C10" i="1"/>
  <c r="C12" i="1" s="1"/>
  <c r="C17" i="1"/>
  <c r="D327" i="1" l="1"/>
  <c r="D444" i="1" s="1"/>
  <c r="G322" i="1"/>
  <c r="G327" i="1" s="1"/>
  <c r="E327" i="1"/>
  <c r="E444" i="1" s="1"/>
  <c r="F23" i="1"/>
  <c r="A183" i="1" l="1"/>
  <c r="A184" i="1" s="1"/>
  <c r="A185" i="1" s="1"/>
  <c r="A186" i="1" s="1"/>
  <c r="A187" i="1" s="1"/>
  <c r="A188" i="1" l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C25" i="1"/>
  <c r="A232" i="1" l="1"/>
  <c r="A233" i="1" s="1"/>
  <c r="A234" i="1" s="1"/>
  <c r="A235" i="1" s="1"/>
  <c r="A236" i="1" s="1"/>
  <c r="A237" i="1" s="1"/>
  <c r="A238" i="1" s="1"/>
  <c r="A239" i="1" s="1"/>
  <c r="A240" i="1" s="1"/>
  <c r="AV53" i="4"/>
  <c r="A241" i="1" l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l="1"/>
  <c r="D74" i="1" l="1"/>
  <c r="D106" i="1" s="1"/>
  <c r="G69" i="1" l="1"/>
  <c r="G74" i="1" s="1"/>
  <c r="G106" i="1" s="1"/>
  <c r="D124" i="1"/>
  <c r="G130" i="1"/>
  <c r="G131" i="1"/>
  <c r="G132" i="1"/>
  <c r="G133" i="1"/>
  <c r="G134" i="1"/>
  <c r="G135" i="1"/>
  <c r="G136" i="1"/>
  <c r="G138" i="1"/>
  <c r="G139" i="1"/>
  <c r="G140" i="1"/>
  <c r="G141" i="1"/>
  <c r="D142" i="1"/>
  <c r="D175" i="1" s="1"/>
  <c r="C177" i="1" l="1"/>
  <c r="C181" i="1"/>
  <c r="C179" i="1"/>
  <c r="C43" i="1"/>
  <c r="C173" i="1"/>
  <c r="D173" i="1"/>
  <c r="D177" i="1"/>
  <c r="G123" i="1"/>
  <c r="G124" i="1" s="1"/>
  <c r="E124" i="1"/>
  <c r="G142" i="1"/>
  <c r="G175" i="1" s="1"/>
  <c r="G18" i="3"/>
  <c r="E219" i="1" s="1"/>
  <c r="E177" i="1" l="1"/>
  <c r="G20" i="3" s="1"/>
  <c r="E173" i="1"/>
  <c r="G16" i="3" s="1"/>
  <c r="E298" i="1"/>
  <c r="D298" i="1" s="1"/>
  <c r="H175" i="1"/>
  <c r="G177" i="1"/>
  <c r="G173" i="1"/>
  <c r="E185" i="1" l="1"/>
  <c r="E469" i="1"/>
  <c r="E295" i="1"/>
  <c r="G295" i="1" s="1"/>
  <c r="H177" i="1"/>
  <c r="E297" i="1"/>
  <c r="D297" i="1" s="1"/>
  <c r="H173" i="1"/>
  <c r="E390" i="1"/>
  <c r="E386" i="1"/>
  <c r="E382" i="1"/>
  <c r="E376" i="1"/>
  <c r="E368" i="1"/>
  <c r="E283" i="1"/>
  <c r="E384" i="1"/>
  <c r="E374" i="1"/>
  <c r="E369" i="1"/>
  <c r="E284" i="1"/>
  <c r="D284" i="1" s="1"/>
  <c r="E280" i="1"/>
  <c r="D280" i="1" s="1"/>
  <c r="E464" i="1"/>
  <c r="E389" i="1"/>
  <c r="E381" i="1"/>
  <c r="E375" i="1"/>
  <c r="E371" i="1"/>
  <c r="E243" i="1"/>
  <c r="D243" i="1" s="1"/>
  <c r="E456" i="1"/>
  <c r="E388" i="1"/>
  <c r="E380" i="1"/>
  <c r="E370" i="1"/>
  <c r="E285" i="1"/>
  <c r="E234" i="1"/>
  <c r="E387" i="1"/>
  <c r="E383" i="1"/>
  <c r="E373" i="1"/>
  <c r="E218" i="1"/>
  <c r="E495" i="1"/>
  <c r="E372" i="1"/>
  <c r="E385" i="1"/>
  <c r="E377" i="1"/>
  <c r="E186" i="1"/>
  <c r="D495" i="1" l="1"/>
  <c r="G495" i="1"/>
  <c r="D295" i="1"/>
  <c r="G284" i="1"/>
  <c r="E454" i="1"/>
  <c r="D454" i="1" s="1"/>
  <c r="E358" i="1"/>
  <c r="G358" i="1" s="1"/>
  <c r="E351" i="1"/>
  <c r="D351" i="1" s="1"/>
  <c r="E346" i="1"/>
  <c r="E279" i="1"/>
  <c r="D279" i="1" s="1"/>
  <c r="E360" i="1"/>
  <c r="D360" i="1" s="1"/>
  <c r="E242" i="1"/>
  <c r="D242" i="1" s="1"/>
  <c r="D469" i="1"/>
  <c r="D470" i="1" s="1"/>
  <c r="E352" i="1"/>
  <c r="D352" i="1" s="1"/>
  <c r="G297" i="1"/>
  <c r="E349" i="1"/>
  <c r="D349" i="1" s="1"/>
  <c r="E345" i="1"/>
  <c r="D345" i="1" s="1"/>
  <c r="E341" i="1"/>
  <c r="D341" i="1" s="1"/>
  <c r="E286" i="1"/>
  <c r="D286" i="1" s="1"/>
  <c r="E282" i="1"/>
  <c r="D282" i="1" s="1"/>
  <c r="E214" i="1"/>
  <c r="D214" i="1" s="1"/>
  <c r="E463" i="1"/>
  <c r="D463" i="1" s="1"/>
  <c r="E356" i="1"/>
  <c r="D356" i="1" s="1"/>
  <c r="E344" i="1"/>
  <c r="D344" i="1" s="1"/>
  <c r="E361" i="1"/>
  <c r="D361" i="1" s="1"/>
  <c r="E359" i="1"/>
  <c r="D359" i="1" s="1"/>
  <c r="E343" i="1"/>
  <c r="E342" i="1"/>
  <c r="D342" i="1" s="1"/>
  <c r="E494" i="1"/>
  <c r="E357" i="1"/>
  <c r="D357" i="1" s="1"/>
  <c r="E362" i="1"/>
  <c r="D362" i="1" s="1"/>
  <c r="E215" i="1"/>
  <c r="D215" i="1" s="1"/>
  <c r="E486" i="1"/>
  <c r="D486" i="1" s="1"/>
  <c r="E484" i="1"/>
  <c r="G298" i="1"/>
  <c r="G283" i="1"/>
  <c r="D283" i="1"/>
  <c r="G285" i="1"/>
  <c r="D285" i="1"/>
  <c r="D185" i="1"/>
  <c r="E108" i="1"/>
  <c r="E110" i="1" s="1"/>
  <c r="E181" i="1" s="1"/>
  <c r="G280" i="1"/>
  <c r="G292" i="1"/>
  <c r="D494" i="1" l="1"/>
  <c r="G494" i="1"/>
  <c r="D108" i="1"/>
  <c r="G463" i="1"/>
  <c r="G342" i="1"/>
  <c r="G349" i="1"/>
  <c r="D358" i="1"/>
  <c r="G214" i="1"/>
  <c r="G286" i="1"/>
  <c r="G362" i="1"/>
  <c r="G345" i="1"/>
  <c r="G215" i="1"/>
  <c r="E470" i="1"/>
  <c r="G469" i="1"/>
  <c r="G470" i="1" s="1"/>
  <c r="G282" i="1"/>
  <c r="E216" i="1"/>
  <c r="G356" i="1"/>
  <c r="E287" i="1"/>
  <c r="G279" i="1"/>
  <c r="G359" i="1"/>
  <c r="G352" i="1"/>
  <c r="G108" i="1"/>
  <c r="G185" i="1"/>
  <c r="D343" i="1"/>
  <c r="G343" i="1"/>
  <c r="G341" i="1"/>
  <c r="G344" i="1"/>
  <c r="G351" i="1"/>
  <c r="G357" i="1"/>
  <c r="D287" i="1"/>
  <c r="G191" i="1"/>
  <c r="D216" i="1"/>
  <c r="D110" i="1" l="1"/>
  <c r="D181" i="1" s="1"/>
  <c r="G110" i="1"/>
  <c r="G181" i="1" s="1"/>
  <c r="G22" i="3"/>
  <c r="E164" i="1" s="1"/>
  <c r="D164" i="1" s="1"/>
  <c r="G216" i="1"/>
  <c r="G287" i="1"/>
  <c r="D156" i="1"/>
  <c r="G208" i="1"/>
  <c r="G192" i="1"/>
  <c r="H181" i="1" l="1"/>
  <c r="E223" i="1"/>
  <c r="D223" i="1" s="1"/>
  <c r="E222" i="1"/>
  <c r="D222" i="1" s="1"/>
  <c r="E145" i="1"/>
  <c r="D145" i="1" s="1"/>
  <c r="E195" i="1"/>
  <c r="D195" i="1" s="1"/>
  <c r="D196" i="1" s="1"/>
  <c r="E150" i="1"/>
  <c r="D150" i="1" s="1"/>
  <c r="E155" i="1"/>
  <c r="D155" i="1" s="1"/>
  <c r="E60" i="1"/>
  <c r="D60" i="1" s="1"/>
  <c r="E149" i="1"/>
  <c r="D149" i="1" s="1"/>
  <c r="E154" i="1"/>
  <c r="D154" i="1" s="1"/>
  <c r="E148" i="1"/>
  <c r="D148" i="1" s="1"/>
  <c r="E187" i="1"/>
  <c r="G187" i="1" s="1"/>
  <c r="E235" i="1"/>
  <c r="G235" i="1" s="1"/>
  <c r="E461" i="1"/>
  <c r="D461" i="1" s="1"/>
  <c r="E61" i="1"/>
  <c r="D61" i="1" s="1"/>
  <c r="E153" i="1"/>
  <c r="D153" i="1" s="1"/>
  <c r="E147" i="1"/>
  <c r="D147" i="1" s="1"/>
  <c r="E152" i="1"/>
  <c r="D152" i="1" s="1"/>
  <c r="E490" i="1"/>
  <c r="G490" i="1" s="1"/>
  <c r="E457" i="1"/>
  <c r="D457" i="1" s="1"/>
  <c r="E465" i="1"/>
  <c r="G465" i="1" s="1"/>
  <c r="E146" i="1"/>
  <c r="D146" i="1" s="1"/>
  <c r="E151" i="1"/>
  <c r="D151" i="1" s="1"/>
  <c r="E160" i="1"/>
  <c r="E165" i="1" s="1"/>
  <c r="E496" i="1"/>
  <c r="G164" i="1"/>
  <c r="G156" i="1"/>
  <c r="G222" i="1" l="1"/>
  <c r="E40" i="1"/>
  <c r="G40" i="1" s="1"/>
  <c r="G496" i="1"/>
  <c r="D224" i="1"/>
  <c r="G223" i="1"/>
  <c r="G224" i="1" s="1"/>
  <c r="G148" i="1"/>
  <c r="E224" i="1"/>
  <c r="G150" i="1"/>
  <c r="D160" i="1"/>
  <c r="D165" i="1" s="1"/>
  <c r="G155" i="1"/>
  <c r="D62" i="1"/>
  <c r="G145" i="1"/>
  <c r="E196" i="1"/>
  <c r="G195" i="1"/>
  <c r="G196" i="1" s="1"/>
  <c r="D496" i="1"/>
  <c r="G147" i="1"/>
  <c r="G149" i="1"/>
  <c r="D235" i="1"/>
  <c r="G146" i="1"/>
  <c r="G153" i="1"/>
  <c r="G461" i="1"/>
  <c r="D157" i="1"/>
  <c r="G61" i="1"/>
  <c r="G154" i="1"/>
  <c r="D465" i="1"/>
  <c r="E62" i="1"/>
  <c r="G160" i="1"/>
  <c r="G165" i="1" s="1"/>
  <c r="G151" i="1"/>
  <c r="D187" i="1"/>
  <c r="D490" i="1"/>
  <c r="E157" i="1"/>
  <c r="E171" i="1" s="1"/>
  <c r="G152" i="1"/>
  <c r="G60" i="1"/>
  <c r="G486" i="1"/>
  <c r="D179" i="1" l="1"/>
  <c r="E179" i="1"/>
  <c r="D43" i="1"/>
  <c r="G157" i="1"/>
  <c r="G62" i="1"/>
  <c r="G414" i="1"/>
  <c r="E416" i="1"/>
  <c r="C416" i="1"/>
  <c r="G179" i="1" l="1"/>
  <c r="G171" i="1"/>
  <c r="G43" i="1" s="1"/>
  <c r="E43" i="1"/>
  <c r="H179" i="1"/>
  <c r="G24" i="3"/>
  <c r="C498" i="4"/>
  <c r="C447" i="1"/>
  <c r="C49" i="5"/>
  <c r="E19" i="1"/>
  <c r="G19" i="1" s="1"/>
  <c r="C19" i="1"/>
  <c r="G415" i="1"/>
  <c r="G416" i="1" s="1"/>
  <c r="E481" i="1" l="1"/>
  <c r="G481" i="1" s="1"/>
  <c r="U27" i="13"/>
  <c r="Q27" i="13"/>
  <c r="C441" i="4"/>
  <c r="F457" i="1" s="1"/>
  <c r="G457" i="1" s="1"/>
  <c r="E482" i="1"/>
  <c r="C438" i="4"/>
  <c r="F454" i="1" s="1"/>
  <c r="G454" i="1" s="1"/>
  <c r="E248" i="1"/>
  <c r="C440" i="4"/>
  <c r="F456" i="1" s="1"/>
  <c r="E247" i="1"/>
  <c r="C437" i="4"/>
  <c r="F453" i="1" s="1"/>
  <c r="G453" i="1" s="1"/>
  <c r="G27" i="13"/>
  <c r="C439" i="4"/>
  <c r="F455" i="1" s="1"/>
  <c r="G455" i="1" s="1"/>
  <c r="E253" i="1"/>
  <c r="E259" i="1" s="1"/>
  <c r="C53" i="5"/>
  <c r="K49" i="5"/>
  <c r="K53" i="5" s="1"/>
  <c r="F515" i="1"/>
  <c r="G515" i="1" s="1"/>
  <c r="I49" i="5"/>
  <c r="I53" i="5" s="1"/>
  <c r="K55" i="5" l="1"/>
  <c r="M55" i="5"/>
  <c r="X12" i="13"/>
  <c r="G12" i="13"/>
  <c r="G22" i="13"/>
  <c r="X22" i="13" s="1"/>
  <c r="Z22" i="13" s="1"/>
  <c r="G18" i="13"/>
  <c r="G16" i="13"/>
  <c r="X16" i="13"/>
  <c r="D481" i="1"/>
  <c r="AY442" i="4"/>
  <c r="AY456" i="4" s="1"/>
  <c r="AY25" i="4" s="1"/>
  <c r="AY33" i="4" s="1"/>
  <c r="AY37" i="4" s="1"/>
  <c r="C442" i="4"/>
  <c r="C456" i="4" s="1"/>
  <c r="F458" i="1"/>
  <c r="F25" i="1" s="1"/>
  <c r="AM442" i="4"/>
  <c r="AM456" i="4" s="1"/>
  <c r="AM25" i="4" s="1"/>
  <c r="G501" i="1"/>
  <c r="C34" i="4"/>
  <c r="F34" i="1"/>
  <c r="E25" i="8" s="1"/>
  <c r="C259" i="1"/>
  <c r="G38" i="3" l="1"/>
  <c r="E419" i="1" s="1"/>
  <c r="E435" i="1"/>
  <c r="Z16" i="13"/>
  <c r="G20" i="13"/>
  <c r="G24" i="13" s="1"/>
  <c r="AM496" i="4"/>
  <c r="AM497" i="4" s="1"/>
  <c r="AM33" i="4" s="1"/>
  <c r="AM37" i="4" s="1"/>
  <c r="AY501" i="4"/>
  <c r="AY27" i="4"/>
  <c r="C25" i="4"/>
  <c r="N55" i="5"/>
  <c r="I25" i="8"/>
  <c r="C429" i="4"/>
  <c r="F445" i="1" s="1"/>
  <c r="C16" i="4"/>
  <c r="E436" i="1" l="1"/>
  <c r="E422" i="1"/>
  <c r="E420" i="1"/>
  <c r="D420" i="1" s="1"/>
  <c r="E421" i="1"/>
  <c r="G421" i="1" s="1"/>
  <c r="E426" i="1"/>
  <c r="D426" i="1" s="1"/>
  <c r="E423" i="1"/>
  <c r="G423" i="1" s="1"/>
  <c r="E424" i="1"/>
  <c r="D424" i="1" s="1"/>
  <c r="E425" i="1"/>
  <c r="G425" i="1" s="1"/>
  <c r="E432" i="1"/>
  <c r="D432" i="1" s="1"/>
  <c r="E427" i="1"/>
  <c r="E430" i="1"/>
  <c r="D430" i="1" s="1"/>
  <c r="E431" i="1"/>
  <c r="D431" i="1" s="1"/>
  <c r="AM27" i="4"/>
  <c r="AM30" i="4" s="1"/>
  <c r="AM39" i="4" s="1"/>
  <c r="AM41" i="4" s="1"/>
  <c r="AM501" i="4"/>
  <c r="AY30" i="4"/>
  <c r="AY39" i="4" s="1"/>
  <c r="AY41" i="4" s="1"/>
  <c r="D421" i="1"/>
  <c r="G431" i="1"/>
  <c r="D427" i="1"/>
  <c r="G427" i="1"/>
  <c r="D435" i="1"/>
  <c r="G435" i="1"/>
  <c r="D436" i="1"/>
  <c r="G436" i="1"/>
  <c r="G426" i="1"/>
  <c r="D419" i="1"/>
  <c r="G419" i="1"/>
  <c r="D422" i="1"/>
  <c r="G422" i="1"/>
  <c r="D423" i="1"/>
  <c r="G396" i="1"/>
  <c r="G397" i="1"/>
  <c r="G398" i="1"/>
  <c r="G399" i="1"/>
  <c r="G400" i="1"/>
  <c r="G405" i="1"/>
  <c r="G406" i="1"/>
  <c r="G407" i="1"/>
  <c r="G408" i="1"/>
  <c r="D409" i="1"/>
  <c r="D20" i="1" s="1"/>
  <c r="E409" i="1"/>
  <c r="E20" i="1" s="1"/>
  <c r="G20" i="1" s="1"/>
  <c r="G432" i="1" l="1"/>
  <c r="D425" i="1"/>
  <c r="G420" i="1"/>
  <c r="G430" i="1"/>
  <c r="E433" i="1"/>
  <c r="E437" i="1" s="1"/>
  <c r="E448" i="1" s="1"/>
  <c r="G448" i="1" s="1"/>
  <c r="G424" i="1"/>
  <c r="C27" i="4"/>
  <c r="D433" i="1"/>
  <c r="D437" i="1" s="1"/>
  <c r="G409" i="1"/>
  <c r="E21" i="1" l="1"/>
  <c r="G21" i="1" s="1"/>
  <c r="G433" i="1"/>
  <c r="G437" i="1" s="1"/>
  <c r="D448" i="1"/>
  <c r="D21" i="1"/>
  <c r="C338" i="1"/>
  <c r="E329" i="1" l="1"/>
  <c r="G313" i="1"/>
  <c r="D329" i="1"/>
  <c r="G360" i="1"/>
  <c r="C363" i="1"/>
  <c r="C353" i="1"/>
  <c r="C445" i="1" l="1"/>
  <c r="C449" i="1" s="1"/>
  <c r="C450" i="1" s="1"/>
  <c r="G320" i="1"/>
  <c r="G329" i="1" s="1"/>
  <c r="G338" i="1" s="1"/>
  <c r="E338" i="1"/>
  <c r="D338" i="1"/>
  <c r="C365" i="1"/>
  <c r="C16" i="1" s="1"/>
  <c r="D346" i="1"/>
  <c r="G346" i="1" l="1"/>
  <c r="C49" i="1" l="1"/>
  <c r="D363" i="1"/>
  <c r="G361" i="1"/>
  <c r="G363" i="1" s="1"/>
  <c r="E363" i="1"/>
  <c r="D218" i="1" l="1"/>
  <c r="G243" i="1"/>
  <c r="G218" i="1" l="1"/>
  <c r="G229" i="1" s="1"/>
  <c r="G50" i="1" s="1"/>
  <c r="D381" i="1"/>
  <c r="D384" i="1"/>
  <c r="D389" i="1"/>
  <c r="D375" i="1"/>
  <c r="D385" i="1"/>
  <c r="D372" i="1"/>
  <c r="D186" i="1"/>
  <c r="D40" i="1"/>
  <c r="D388" i="1"/>
  <c r="D371" i="1"/>
  <c r="D484" i="1"/>
  <c r="D382" i="1"/>
  <c r="D380" i="1"/>
  <c r="D376" i="1"/>
  <c r="D368" i="1"/>
  <c r="E244" i="1"/>
  <c r="E48" i="1" l="1"/>
  <c r="G48" i="1" s="1"/>
  <c r="G374" i="1"/>
  <c r="D374" i="1"/>
  <c r="G387" i="1"/>
  <c r="D387" i="1"/>
  <c r="G390" i="1"/>
  <c r="D390" i="1"/>
  <c r="G386" i="1"/>
  <c r="D386" i="1"/>
  <c r="E458" i="1"/>
  <c r="D456" i="1"/>
  <c r="D458" i="1" s="1"/>
  <c r="E228" i="1"/>
  <c r="D219" i="1"/>
  <c r="G369" i="1"/>
  <c r="D369" i="1"/>
  <c r="G383" i="1"/>
  <c r="D383" i="1"/>
  <c r="G370" i="1"/>
  <c r="D370" i="1"/>
  <c r="D234" i="1"/>
  <c r="D236" i="1" s="1"/>
  <c r="D46" i="1" s="1"/>
  <c r="G373" i="1"/>
  <c r="D373" i="1"/>
  <c r="G377" i="1"/>
  <c r="D377" i="1"/>
  <c r="G186" i="1"/>
  <c r="G188" i="1" s="1"/>
  <c r="G44" i="1" s="1"/>
  <c r="G45" i="1" s="1"/>
  <c r="D253" i="1"/>
  <c r="D248" i="1"/>
  <c r="D247" i="1"/>
  <c r="D482" i="1"/>
  <c r="G375" i="1"/>
  <c r="G464" i="1"/>
  <c r="G466" i="1" s="1"/>
  <c r="E466" i="1"/>
  <c r="G456" i="1"/>
  <c r="G458" i="1" s="1"/>
  <c r="G381" i="1"/>
  <c r="G384" i="1"/>
  <c r="G493" i="1"/>
  <c r="E32" i="8"/>
  <c r="I32" i="8" s="1"/>
  <c r="G388" i="1"/>
  <c r="E188" i="1"/>
  <c r="D188" i="1"/>
  <c r="G385" i="1"/>
  <c r="G389" i="1"/>
  <c r="G372" i="1"/>
  <c r="E391" i="1"/>
  <c r="E394" i="1" s="1"/>
  <c r="G380" i="1"/>
  <c r="G371" i="1"/>
  <c r="D464" i="1"/>
  <c r="G219" i="1"/>
  <c r="E220" i="1"/>
  <c r="G382" i="1"/>
  <c r="E378" i="1"/>
  <c r="G368" i="1"/>
  <c r="G234" i="1"/>
  <c r="G236" i="1" s="1"/>
  <c r="E236" i="1"/>
  <c r="E46" i="1" s="1"/>
  <c r="G46" i="1" s="1"/>
  <c r="G376" i="1"/>
  <c r="G484" i="1"/>
  <c r="D244" i="1"/>
  <c r="G242" i="1"/>
  <c r="G244" i="1" s="1"/>
  <c r="E472" i="1" l="1"/>
  <c r="D48" i="1"/>
  <c r="E44" i="1"/>
  <c r="E45" i="1" s="1"/>
  <c r="E201" i="1"/>
  <c r="E203" i="1" s="1"/>
  <c r="E25" i="1"/>
  <c r="E52" i="1"/>
  <c r="G52" i="1" s="1"/>
  <c r="D220" i="1"/>
  <c r="D228" i="1"/>
  <c r="G220" i="1"/>
  <c r="G226" i="1" s="1"/>
  <c r="G228" i="1"/>
  <c r="G201" i="1"/>
  <c r="G203" i="1" s="1"/>
  <c r="G485" i="1"/>
  <c r="G248" i="1"/>
  <c r="G482" i="1"/>
  <c r="D52" i="1"/>
  <c r="G253" i="1"/>
  <c r="G259" i="1" s="1"/>
  <c r="E249" i="1"/>
  <c r="G247" i="1"/>
  <c r="E47" i="1"/>
  <c r="G47" i="1" s="1"/>
  <c r="D391" i="1"/>
  <c r="D394" i="1" s="1"/>
  <c r="G472" i="1"/>
  <c r="E393" i="1"/>
  <c r="D466" i="1"/>
  <c r="D472" i="1" s="1"/>
  <c r="D25" i="1" s="1"/>
  <c r="G391" i="1"/>
  <c r="G394" i="1" s="1"/>
  <c r="G378" i="1"/>
  <c r="D378" i="1"/>
  <c r="D44" i="1"/>
  <c r="D45" i="1" s="1"/>
  <c r="C44" i="1"/>
  <c r="C45" i="1" s="1"/>
  <c r="C53" i="1" s="1"/>
  <c r="D201" i="1"/>
  <c r="D203" i="1" s="1"/>
  <c r="E19" i="8" l="1"/>
  <c r="I19" i="8" s="1"/>
  <c r="G26" i="3"/>
  <c r="E508" i="1" s="1"/>
  <c r="E446" i="1"/>
  <c r="G446" i="1" s="1"/>
  <c r="D47" i="1"/>
  <c r="G249" i="1"/>
  <c r="G261" i="1" s="1"/>
  <c r="D259" i="1"/>
  <c r="D249" i="1"/>
  <c r="D393" i="1"/>
  <c r="G393" i="1"/>
  <c r="E17" i="1"/>
  <c r="G17" i="1" s="1"/>
  <c r="C201" i="1"/>
  <c r="C203" i="1" s="1"/>
  <c r="D508" i="1" l="1"/>
  <c r="E507" i="1"/>
  <c r="D507" i="1" s="1"/>
  <c r="E506" i="1"/>
  <c r="D506" i="1" s="1"/>
  <c r="D17" i="1"/>
  <c r="D446" i="1"/>
  <c r="D15" i="1"/>
  <c r="C15" i="1"/>
  <c r="C439" i="1"/>
  <c r="C441" i="1" s="1"/>
  <c r="E15" i="1"/>
  <c r="C23" i="1" l="1"/>
  <c r="C30" i="1" s="1"/>
  <c r="C39" i="1" s="1"/>
  <c r="C41" i="1" s="1"/>
  <c r="C55" i="1" s="1"/>
  <c r="G508" i="1"/>
  <c r="G506" i="1"/>
  <c r="G507" i="1"/>
  <c r="E509" i="1"/>
  <c r="E29" i="1" s="1"/>
  <c r="G29" i="1" s="1"/>
  <c r="E22" i="8" s="1"/>
  <c r="I22" i="8" s="1"/>
  <c r="G444" i="1"/>
  <c r="G15" i="1"/>
  <c r="D402" i="1"/>
  <c r="D447" i="1" s="1"/>
  <c r="G402" i="1"/>
  <c r="E402" i="1"/>
  <c r="G509" i="1" l="1"/>
  <c r="D509" i="1"/>
  <c r="D29" i="1" s="1"/>
  <c r="E18" i="1"/>
  <c r="G18" i="1" s="1"/>
  <c r="E447" i="1"/>
  <c r="D18" i="1"/>
  <c r="G353" i="1" l="1"/>
  <c r="G365" i="1" s="1"/>
  <c r="G439" i="1" s="1"/>
  <c r="G441" i="1" s="1"/>
  <c r="D353" i="1"/>
  <c r="D445" i="1" s="1"/>
  <c r="E353" i="1"/>
  <c r="E445" i="1" s="1"/>
  <c r="G445" i="1" s="1"/>
  <c r="E365" i="1" l="1"/>
  <c r="E439" i="1" s="1"/>
  <c r="E441" i="1" s="1"/>
  <c r="H441" i="1" s="1"/>
  <c r="D365" i="1"/>
  <c r="D439" i="1" s="1"/>
  <c r="D441" i="1" s="1"/>
  <c r="D449" i="1"/>
  <c r="D450" i="1" s="1"/>
  <c r="D49" i="1" s="1"/>
  <c r="H439" i="1" l="1"/>
  <c r="G28" i="3"/>
  <c r="D16" i="1"/>
  <c r="D23" i="1" s="1"/>
  <c r="E16" i="1"/>
  <c r="G16" i="1" s="1"/>
  <c r="G23" i="1" s="1"/>
  <c r="E449" i="1"/>
  <c r="E450" i="1" s="1"/>
  <c r="E49" i="1" s="1"/>
  <c r="E18" i="8" l="1"/>
  <c r="G30" i="3"/>
  <c r="E478" i="1" s="1"/>
  <c r="D478" i="1" s="1"/>
  <c r="E23" i="1"/>
  <c r="E476" i="1" l="1"/>
  <c r="G476" i="1" s="1"/>
  <c r="E489" i="1"/>
  <c r="G489" i="1" s="1"/>
  <c r="E477" i="1"/>
  <c r="G477" i="1" s="1"/>
  <c r="G478" i="1"/>
  <c r="G479" i="1" l="1"/>
  <c r="G491" i="1" s="1"/>
  <c r="D477" i="1"/>
  <c r="D489" i="1"/>
  <c r="D476" i="1"/>
  <c r="E479" i="1"/>
  <c r="E491" i="1" s="1"/>
  <c r="E26" i="1" s="1"/>
  <c r="G26" i="1" s="1"/>
  <c r="C18" i="4"/>
  <c r="E20" i="8" l="1"/>
  <c r="I20" i="8" s="1"/>
  <c r="D479" i="1"/>
  <c r="D491" i="1" s="1"/>
  <c r="D26" i="1" s="1"/>
  <c r="C431" i="4"/>
  <c r="C433" i="4" s="1"/>
  <c r="C434" i="4" s="1"/>
  <c r="C496" i="4"/>
  <c r="C23" i="4"/>
  <c r="C33" i="4" l="1"/>
  <c r="F447" i="1"/>
  <c r="C30" i="4" l="1"/>
  <c r="C497" i="4"/>
  <c r="F514" i="1" s="1"/>
  <c r="G447" i="1"/>
  <c r="G449" i="1" s="1"/>
  <c r="G450" i="1" s="1"/>
  <c r="F449" i="1"/>
  <c r="C37" i="4"/>
  <c r="F513" i="1"/>
  <c r="F27" i="1" s="1"/>
  <c r="G27" i="1" s="1"/>
  <c r="F33" i="1" l="1"/>
  <c r="G514" i="1"/>
  <c r="C501" i="4"/>
  <c r="F450" i="1"/>
  <c r="F49" i="1" s="1"/>
  <c r="F53" i="1" s="1"/>
  <c r="C39" i="4"/>
  <c r="F30" i="1"/>
  <c r="F518" i="1"/>
  <c r="G513" i="1"/>
  <c r="G33" i="1" l="1"/>
  <c r="G37" i="1" s="1"/>
  <c r="F37" i="1"/>
  <c r="F39" i="1" s="1"/>
  <c r="F41" i="1" s="1"/>
  <c r="G518" i="1"/>
  <c r="C41" i="4"/>
  <c r="G49" i="1"/>
  <c r="E21" i="8" l="1"/>
  <c r="E24" i="8"/>
  <c r="G53" i="1"/>
  <c r="I37" i="8" s="1"/>
  <c r="G291" i="1"/>
  <c r="G299" i="1" s="1"/>
  <c r="G301" i="1" s="1"/>
  <c r="E299" i="1"/>
  <c r="E301" i="1" s="1"/>
  <c r="D299" i="1"/>
  <c r="D301" i="1" s="1"/>
  <c r="D10" i="1" s="1"/>
  <c r="E28" i="8" l="1"/>
  <c r="E10" i="1"/>
  <c r="G10" i="1" s="1"/>
  <c r="E12" i="8" l="1"/>
  <c r="I12" i="8" l="1"/>
  <c r="G269" i="1"/>
  <c r="D272" i="1"/>
  <c r="E272" i="1"/>
  <c r="E303" i="1" s="1"/>
  <c r="E11" i="1" l="1"/>
  <c r="G11" i="1" s="1"/>
  <c r="E13" i="8" s="1"/>
  <c r="I13" i="8" s="1"/>
  <c r="D11" i="1"/>
  <c r="G272" i="1"/>
  <c r="E208" i="1" l="1"/>
  <c r="E226" i="1" s="1"/>
  <c r="D206" i="1"/>
  <c r="D208" i="1" s="1"/>
  <c r="E229" i="1"/>
  <c r="E50" i="1" l="1"/>
  <c r="E53" i="1" s="1"/>
  <c r="E261" i="1"/>
  <c r="D229" i="1"/>
  <c r="D226" i="1"/>
  <c r="G264" i="1"/>
  <c r="G303" i="1" s="1"/>
  <c r="E7" i="1"/>
  <c r="G7" i="1" s="1"/>
  <c r="D50" i="1" l="1"/>
  <c r="D53" i="1" s="1"/>
  <c r="D261" i="1"/>
  <c r="D7" i="1"/>
  <c r="D9" i="1"/>
  <c r="E9" i="1"/>
  <c r="E12" i="1" s="1"/>
  <c r="E30" i="1" s="1"/>
  <c r="E39" i="1" s="1"/>
  <c r="E41" i="1" s="1"/>
  <c r="D303" i="1"/>
  <c r="G32" i="3"/>
  <c r="G9" i="1" l="1"/>
  <c r="G12" i="1" s="1"/>
  <c r="G30" i="1" s="1"/>
  <c r="E55" i="1"/>
  <c r="H303" i="1"/>
  <c r="D12" i="1"/>
  <c r="D30" i="1" s="1"/>
  <c r="D39" i="1" s="1"/>
  <c r="D41" i="1" s="1"/>
  <c r="D55" i="1" s="1"/>
  <c r="E11" i="8"/>
  <c r="G39" i="1" l="1"/>
  <c r="G41" i="1"/>
  <c r="E14" i="9" s="1"/>
  <c r="E15" i="8"/>
  <c r="G55" i="1" l="1"/>
  <c r="E31" i="8"/>
  <c r="E34" i="8" s="1"/>
  <c r="X14" i="13"/>
  <c r="X18" i="13"/>
  <c r="Z18" i="13" s="1"/>
  <c r="Z14" i="13" l="1"/>
  <c r="X20" i="13"/>
  <c r="X24" i="13" s="1"/>
  <c r="Z12" i="13"/>
  <c r="Z20" i="13" l="1"/>
  <c r="Z24" i="13" s="1"/>
  <c r="AB12" i="13" l="1"/>
  <c r="AB16" i="13"/>
  <c r="E15" i="10" s="1"/>
  <c r="AB14" i="13"/>
  <c r="E13" i="10" s="1"/>
  <c r="AB18" i="13"/>
  <c r="E17" i="10" s="1"/>
  <c r="E11" i="10" l="1"/>
  <c r="AB20" i="13"/>
  <c r="AB24" i="13" s="1"/>
  <c r="E8" i="9" l="1"/>
  <c r="E19" i="10"/>
  <c r="I40" i="8" s="1"/>
  <c r="K11" i="10" l="1"/>
  <c r="O11" i="10" s="1"/>
  <c r="G15" i="10"/>
  <c r="K15" i="10" s="1"/>
  <c r="K13" i="10"/>
  <c r="G17" i="10"/>
  <c r="K17" i="10" s="1"/>
  <c r="O17" i="10" l="1"/>
  <c r="O19" i="10" s="1"/>
  <c r="G19" i="10"/>
  <c r="E10" i="9" l="1"/>
  <c r="E12" i="9" s="1"/>
  <c r="E16" i="9" s="1"/>
  <c r="I41" i="8"/>
  <c r="E20" i="9" l="1"/>
  <c r="G11" i="8"/>
  <c r="G15" i="8" l="1"/>
  <c r="I11" i="8"/>
  <c r="I15" i="8" s="1"/>
  <c r="G18" i="8" l="1"/>
  <c r="I47" i="8"/>
  <c r="D12" i="23" s="1"/>
  <c r="D25" i="23" s="1"/>
  <c r="I44" i="8"/>
  <c r="F12" i="23" l="1"/>
  <c r="D18" i="23"/>
  <c r="F16" i="23"/>
  <c r="F14" i="23"/>
  <c r="I18" i="8"/>
  <c r="G21" i="8"/>
  <c r="I21" i="8" s="1"/>
  <c r="G24" i="8" l="1"/>
  <c r="I24" i="8" s="1"/>
  <c r="I28" i="8" s="1"/>
  <c r="I31" i="8" s="1"/>
  <c r="I34" i="8" s="1"/>
  <c r="I38" i="8" s="1"/>
  <c r="G28" i="8" l="1"/>
  <c r="G31" i="8" s="1"/>
  <c r="G34" i="8" s="1"/>
</calcChain>
</file>

<file path=xl/sharedStrings.xml><?xml version="1.0" encoding="utf-8"?>
<sst xmlns="http://schemas.openxmlformats.org/spreadsheetml/2006/main" count="2153" uniqueCount="1046">
  <si>
    <t>PER BOOKS</t>
  </si>
  <si>
    <t>ADJUSTED</t>
  </si>
  <si>
    <t>Line</t>
  </si>
  <si>
    <t>COMPANY</t>
  </si>
  <si>
    <t>GOING LEVEL</t>
  </si>
  <si>
    <t xml:space="preserve">HARD CODES  </t>
  </si>
  <si>
    <t>No.</t>
  </si>
  <si>
    <t>Description</t>
  </si>
  <si>
    <t>JURIS</t>
  </si>
  <si>
    <t>ADJUSTMENTS</t>
  </si>
  <si>
    <t>ALLOCATOR</t>
  </si>
  <si>
    <t>TO BE ALLOCATED</t>
  </si>
  <si>
    <t>(1)</t>
  </si>
  <si>
    <t>(2)</t>
  </si>
  <si>
    <t>Operating Revenues - Firm Wholesale Sales of Electricity</t>
  </si>
  <si>
    <t>Provision for Rate Refund</t>
  </si>
  <si>
    <t>Other Electric Operating Revenues</t>
  </si>
  <si>
    <t>Non-Firm Sales Revenues</t>
  </si>
  <si>
    <t xml:space="preserve">  Total Operating Revenues</t>
  </si>
  <si>
    <t>Operation and Maintenance Expenses</t>
  </si>
  <si>
    <t>Power Production</t>
  </si>
  <si>
    <t>Transmission</t>
  </si>
  <si>
    <t>Distribution</t>
  </si>
  <si>
    <t>Customer Accounts</t>
  </si>
  <si>
    <t>Sales Expense</t>
  </si>
  <si>
    <t>Customer Service &amp; Information</t>
  </si>
  <si>
    <t>Administrative and General</t>
  </si>
  <si>
    <t>Undistributed Adjustments</t>
  </si>
  <si>
    <t xml:space="preserve">  Total Operation and Maintenance Expense</t>
  </si>
  <si>
    <t>Depreciation and Amortization Expense</t>
  </si>
  <si>
    <t>Taxes Other than Federal Income Taxes</t>
  </si>
  <si>
    <t>State Income Tax</t>
  </si>
  <si>
    <t>Interest on Customer Deposits</t>
  </si>
  <si>
    <t>Other</t>
  </si>
  <si>
    <t>Net Operating Income Before F.I.T.</t>
  </si>
  <si>
    <t>Federal Income Tax</t>
  </si>
  <si>
    <t xml:space="preserve">  Current Federal Income Tax</t>
  </si>
  <si>
    <t xml:space="preserve">  Deferred Federal Income Tax</t>
  </si>
  <si>
    <t xml:space="preserve">  Deferred Investment Tax Credit</t>
  </si>
  <si>
    <t xml:space="preserve">    Total Federal Income Taxes</t>
  </si>
  <si>
    <t>Operating Income</t>
  </si>
  <si>
    <t>Net Operating Income</t>
  </si>
  <si>
    <t>Electric Plant in Service - Original Cost</t>
  </si>
  <si>
    <t>Accumulated Provision for Depreciation &amp; Amortization</t>
  </si>
  <si>
    <t>Construction Work in Progress</t>
  </si>
  <si>
    <t>Electric Plant Held for Future Use</t>
  </si>
  <si>
    <t>Accumulated Deferred Income Taxes</t>
  </si>
  <si>
    <t>Rate Base</t>
  </si>
  <si>
    <t>`</t>
  </si>
  <si>
    <t>Rate of Return</t>
  </si>
  <si>
    <t>Development of Rate Base</t>
  </si>
  <si>
    <t>Electric Plant in Service</t>
  </si>
  <si>
    <t>Intangible Plant</t>
  </si>
  <si>
    <t>Capitalized Software</t>
  </si>
  <si>
    <t>Direct</t>
  </si>
  <si>
    <t xml:space="preserve">     AFUDC</t>
  </si>
  <si>
    <t>Production Plant</t>
  </si>
  <si>
    <t>Steam Production</t>
  </si>
  <si>
    <t>A310 Land &amp; Land Rights</t>
  </si>
  <si>
    <t>Demand</t>
  </si>
  <si>
    <t>A311 Structures and Improvements</t>
  </si>
  <si>
    <t xml:space="preserve">A312 Boiler Plant Equipment </t>
  </si>
  <si>
    <t>A313 Engines/Engine Driven Gen.</t>
  </si>
  <si>
    <t>A314 Turbogenerator Units</t>
  </si>
  <si>
    <t>A315 Accessory Electric Equip.</t>
  </si>
  <si>
    <t>A316 Misc. Power Plant Equip.</t>
  </si>
  <si>
    <t>A317 ARO Steam Production Plant</t>
  </si>
  <si>
    <t>Nuclear Production</t>
  </si>
  <si>
    <t>A320 Land &amp; Land Rights</t>
  </si>
  <si>
    <t>A321 Structures and Improvements</t>
  </si>
  <si>
    <t xml:space="preserve">A322 Reactor Plant Equipment </t>
  </si>
  <si>
    <t>A323 Turbogenerator Units</t>
  </si>
  <si>
    <t>A324 Accessory Electric Equip.</t>
  </si>
  <si>
    <t>A325 Misc. Power Plant Equipment</t>
  </si>
  <si>
    <t>Hydraulic Production</t>
  </si>
  <si>
    <t>A330 Land &amp; Land Rights(MACSS Cap)</t>
  </si>
  <si>
    <t>A331 Structures and Improvements</t>
  </si>
  <si>
    <t>A332 Reserviors, Dams, and Waterways</t>
  </si>
  <si>
    <t>A333 Water Wheels, Turbines, and Generators</t>
  </si>
  <si>
    <t>A334 Accessory Electric Equipment</t>
  </si>
  <si>
    <t>A335 Miscellaneous Power Plant Equip.</t>
  </si>
  <si>
    <t>A336 Roads, Railroads, and Bridges</t>
  </si>
  <si>
    <t>A337 ARO Hydraulic Production</t>
  </si>
  <si>
    <t>Other Production</t>
  </si>
  <si>
    <t>A340 Land &amp; Land Rights</t>
  </si>
  <si>
    <t>A341 Structures and Improvements</t>
  </si>
  <si>
    <t>A342 Fuel Holder, Producer &amp; Acc</t>
  </si>
  <si>
    <t>A343 Prime Movers</t>
  </si>
  <si>
    <t>A344 Generators</t>
  </si>
  <si>
    <t>A345 Accessory Plant Equipment</t>
  </si>
  <si>
    <t>A346 Misc. Power Plant Equipment</t>
  </si>
  <si>
    <t>FERC AFUDC Adjustment</t>
  </si>
  <si>
    <t>Contra AFUDC Adjustment</t>
  </si>
  <si>
    <t>Transmission Plant</t>
  </si>
  <si>
    <t>A350 Land and Land Rights</t>
  </si>
  <si>
    <t>A352 Structures and Improvements TRAN</t>
  </si>
  <si>
    <t>A353 Station Equipment TRAN</t>
  </si>
  <si>
    <t>A352 Structures and Improvements GEN</t>
  </si>
  <si>
    <t>A353 Station Equipment GEN</t>
  </si>
  <si>
    <t>A354 Towers and Fixtures</t>
  </si>
  <si>
    <t>A355 Poles and Fixtures</t>
  </si>
  <si>
    <t>A356 O.H. Conductors &amp; Devices</t>
  </si>
  <si>
    <t>A357 Undergound Conduit</t>
  </si>
  <si>
    <t>A358 Underground Conductors</t>
  </si>
  <si>
    <t>A359 Roads and Trails</t>
  </si>
  <si>
    <t>Distribution Plant</t>
  </si>
  <si>
    <t>A360Land and Land Rights</t>
  </si>
  <si>
    <t>A361Structures and Improvements</t>
  </si>
  <si>
    <t>A362Station Equipment</t>
  </si>
  <si>
    <t>A363Storage Battery Equipment</t>
  </si>
  <si>
    <t>A364Poles,Towers &amp; Fixtures Primary</t>
  </si>
  <si>
    <t>A365O.H. Conductors &amp; Devices Primary</t>
  </si>
  <si>
    <t>A366Underground Conduits Primary</t>
  </si>
  <si>
    <t>A367U.G. Conductors &amp; Devices Primary</t>
  </si>
  <si>
    <t>A368Line Transformers Primary</t>
  </si>
  <si>
    <t>A369Services</t>
  </si>
  <si>
    <t>A370Meters</t>
  </si>
  <si>
    <t>A371Install. on Customer Prem.</t>
  </si>
  <si>
    <t>A372Leased Prop. on Cust. Premises</t>
  </si>
  <si>
    <t>A373Street Lights</t>
  </si>
  <si>
    <t>A374ARO</t>
  </si>
  <si>
    <t>General Plant</t>
  </si>
  <si>
    <t>A389Land and Land Rights</t>
  </si>
  <si>
    <t>A390Structures and Improvements</t>
  </si>
  <si>
    <t>A391Office Furniture &amp; Equip.</t>
  </si>
  <si>
    <t>A392Transportation Equipment</t>
  </si>
  <si>
    <t xml:space="preserve">A393Stores Equipment </t>
  </si>
  <si>
    <t>A394Tools, Shop &amp; Garage Equip.</t>
  </si>
  <si>
    <t>A395Laboratory Equipment</t>
  </si>
  <si>
    <t>A396Power Operated Equipment</t>
  </si>
  <si>
    <t>A397Communication Equipment</t>
  </si>
  <si>
    <t>A398Misc. Equipment</t>
  </si>
  <si>
    <t>A399Other Tang. Property</t>
  </si>
  <si>
    <t>39919ARO General Plant</t>
  </si>
  <si>
    <t>Total Plant in Service</t>
  </si>
  <si>
    <t>Less: Reserve for Depreciation/RWIP - Accts 1080001,1080011,1080005</t>
  </si>
  <si>
    <t xml:space="preserve">     Production</t>
  </si>
  <si>
    <t xml:space="preserve">     Transmission Plant</t>
  </si>
  <si>
    <t xml:space="preserve">     Distribution</t>
  </si>
  <si>
    <t xml:space="preserve">     General</t>
  </si>
  <si>
    <t>Less Reserve for Amortization</t>
  </si>
  <si>
    <t>Net Electric Plant in Service</t>
  </si>
  <si>
    <t>Construction Work in Progress - Account 107</t>
  </si>
  <si>
    <t xml:space="preserve">     Intangible</t>
  </si>
  <si>
    <t xml:space="preserve">    AFUDC</t>
  </si>
  <si>
    <t xml:space="preserve">     Transmission</t>
  </si>
  <si>
    <t>Total Construction Work in Progress</t>
  </si>
  <si>
    <t>Completed Construction Not Classified -Acct 106</t>
  </si>
  <si>
    <t xml:space="preserve">    Intangible Plant</t>
  </si>
  <si>
    <t xml:space="preserve">     Production Plant</t>
  </si>
  <si>
    <t xml:space="preserve">     Distribution Plant</t>
  </si>
  <si>
    <t xml:space="preserve">     General Plant</t>
  </si>
  <si>
    <t>Plant Held for Future Use - Acct 105</t>
  </si>
  <si>
    <t xml:space="preserve">     Fuel / Allowance Inventory</t>
  </si>
  <si>
    <t>Energy</t>
  </si>
  <si>
    <t xml:space="preserve">     Production M&amp;S Inventory</t>
  </si>
  <si>
    <t xml:space="preserve">     Transmission M&amp;S Inventory</t>
  </si>
  <si>
    <t xml:space="preserve">     Distribution M&amp;S Inventory</t>
  </si>
  <si>
    <t xml:space="preserve">     Prepaid Pension Benefit</t>
  </si>
  <si>
    <t xml:space="preserve">     Prepaid Other</t>
  </si>
  <si>
    <t>Rate Base Additions (Deductions)</t>
  </si>
  <si>
    <t xml:space="preserve">     Accumulated Deferred Income Taxes, other than Deferred Fuel</t>
  </si>
  <si>
    <t xml:space="preserve">     Unallocated Deferred FIT</t>
  </si>
  <si>
    <t xml:space="preserve">     Deferred Investment Tax Credit</t>
  </si>
  <si>
    <t xml:space="preserve">     Customer Deposits</t>
  </si>
  <si>
    <t xml:space="preserve">     After Tax Effect of ARO </t>
  </si>
  <si>
    <t xml:space="preserve">     Total Rate Base Deductions</t>
  </si>
  <si>
    <t>Total Rate Base</t>
  </si>
  <si>
    <t>Non-Firm Sales:</t>
  </si>
  <si>
    <t xml:space="preserve">     Demand Related </t>
  </si>
  <si>
    <t xml:space="preserve">     Energy Related</t>
  </si>
  <si>
    <t xml:space="preserve">     Unallocated</t>
  </si>
  <si>
    <t>Other Operating Revenues</t>
  </si>
  <si>
    <t xml:space="preserve">     450-Forfeited Discounts</t>
  </si>
  <si>
    <t xml:space="preserve">     451-Miscellaneous Service Revenues</t>
  </si>
  <si>
    <t>Rent from Electric Property</t>
  </si>
  <si>
    <t xml:space="preserve">     4541-Rent-Assoc Cos- Production</t>
  </si>
  <si>
    <t xml:space="preserve">     4541-Rent-Assoc Cos- Transmission</t>
  </si>
  <si>
    <t xml:space="preserve">     4541-Rent-Assoc Cos- Distribution </t>
  </si>
  <si>
    <t xml:space="preserve">     4542-Rent-Non-Assoc Cos- Production</t>
  </si>
  <si>
    <t xml:space="preserve">     4542-Rent-Non-Assoc Cos- Transmission</t>
  </si>
  <si>
    <t xml:space="preserve">     4542-Rent-Non-Assoc Cos- Distribution </t>
  </si>
  <si>
    <t xml:space="preserve">     4540005 Rent from Elec Prop-Pole Attch</t>
  </si>
  <si>
    <t xml:space="preserve">     4540004-Rent-Non-Assoc Cos-ABD Distribution</t>
  </si>
  <si>
    <t xml:space="preserve">     4540004-Rent-Non-Assoc Cos-ABD Transmission</t>
  </si>
  <si>
    <t>Other Electric Revenues</t>
  </si>
  <si>
    <t xml:space="preserve">     456-Other Electric Production</t>
  </si>
  <si>
    <t>Power Production Expenses</t>
  </si>
  <si>
    <t xml:space="preserve"> Steam Generation Expenses</t>
  </si>
  <si>
    <t xml:space="preserve">     500-Supervision  &amp; Engineering</t>
  </si>
  <si>
    <t xml:space="preserve">     503-Steam other Sources</t>
  </si>
  <si>
    <t xml:space="preserve">     504-Steam Transferred Credit</t>
  </si>
  <si>
    <t xml:space="preserve">     505-Electric</t>
  </si>
  <si>
    <t xml:space="preserve">     506-Misc. Steam Power Expenses</t>
  </si>
  <si>
    <t xml:space="preserve">     507-Rents</t>
  </si>
  <si>
    <t xml:space="preserve">     509-Allowances</t>
  </si>
  <si>
    <t xml:space="preserve">          Total Steam Operation</t>
  </si>
  <si>
    <t xml:space="preserve">     510-Supervision &amp; Engineering</t>
  </si>
  <si>
    <t xml:space="preserve">     511-Structures</t>
  </si>
  <si>
    <t xml:space="preserve">     512-Boiler Plant</t>
  </si>
  <si>
    <t xml:space="preserve">     513-Electric Plant</t>
  </si>
  <si>
    <t xml:space="preserve">     514-Misc Steam Plant</t>
  </si>
  <si>
    <t xml:space="preserve">     Total Steam Generation Expense</t>
  </si>
  <si>
    <t>Other Power Supply Expense</t>
  </si>
  <si>
    <t xml:space="preserve">     555-Purchased Power Expense Demand</t>
  </si>
  <si>
    <t xml:space="preserve">     555-Purchased Power Expense Energy</t>
  </si>
  <si>
    <t xml:space="preserve">     556-Sys Control &amp; Load Dispatching</t>
  </si>
  <si>
    <t xml:space="preserve">     557- Other Expenses</t>
  </si>
  <si>
    <t xml:space="preserve">         Total Other Power Supply Expense</t>
  </si>
  <si>
    <t xml:space="preserve">   Total Production O&amp;M Expense</t>
  </si>
  <si>
    <t>Transmission Expense</t>
  </si>
  <si>
    <t xml:space="preserve">     560-Supervision &amp; Engineering</t>
  </si>
  <si>
    <t xml:space="preserve">     562-Station Equipment</t>
  </si>
  <si>
    <t xml:space="preserve">     563-Overhead Lines</t>
  </si>
  <si>
    <t xml:space="preserve">     564-Underground Lines</t>
  </si>
  <si>
    <t xml:space="preserve">     566-Misc Transmission</t>
  </si>
  <si>
    <t xml:space="preserve">     567-Rents</t>
  </si>
  <si>
    <t xml:space="preserve">   Total Transmission Operation Expense</t>
  </si>
  <si>
    <t>Transmission Maintenance</t>
  </si>
  <si>
    <t xml:space="preserve">     568-Supervision &amp; Engineering</t>
  </si>
  <si>
    <t xml:space="preserve">     569-Structures</t>
  </si>
  <si>
    <t xml:space="preserve">     570-Station Equipment</t>
  </si>
  <si>
    <t xml:space="preserve">     571-Overhead Lines</t>
  </si>
  <si>
    <t xml:space="preserve">     572-Underground Lines</t>
  </si>
  <si>
    <t xml:space="preserve">     573-Misc Transmission Expenses</t>
  </si>
  <si>
    <t xml:space="preserve">     575- PJM Admin</t>
  </si>
  <si>
    <t xml:space="preserve">   Total Transmission Maintenance Expense</t>
  </si>
  <si>
    <t xml:space="preserve">   Total Transmission O&amp;M Expense</t>
  </si>
  <si>
    <t>Distribution Expense</t>
  </si>
  <si>
    <t xml:space="preserve">     580-Supervision &amp; Engineering</t>
  </si>
  <si>
    <t xml:space="preserve">     581-Load Dispatching</t>
  </si>
  <si>
    <t xml:space="preserve">     582-Station Equipment</t>
  </si>
  <si>
    <t xml:space="preserve">     583-Overhead Lines</t>
  </si>
  <si>
    <t xml:space="preserve">     584-Underground Lines</t>
  </si>
  <si>
    <t xml:space="preserve">     585-Street &amp; Area Lighting</t>
  </si>
  <si>
    <t xml:space="preserve">     586-Meters</t>
  </si>
  <si>
    <t xml:space="preserve">     587-Customer Installations</t>
  </si>
  <si>
    <t xml:space="preserve">     588-Misc Distribution </t>
  </si>
  <si>
    <t xml:space="preserve">     589-Rents</t>
  </si>
  <si>
    <t xml:space="preserve">     590-Supervision &amp; Engineering</t>
  </si>
  <si>
    <t xml:space="preserve">     591-Structures</t>
  </si>
  <si>
    <t xml:space="preserve">     592-Station Equipment</t>
  </si>
  <si>
    <t xml:space="preserve">     593-Overhead Lines</t>
  </si>
  <si>
    <t xml:space="preserve">     593-Forestry Direct Assigned</t>
  </si>
  <si>
    <t xml:space="preserve">     594-Underground Lines</t>
  </si>
  <si>
    <t xml:space="preserve">     595-Line Transformers</t>
  </si>
  <si>
    <t xml:space="preserve">     596-Street &amp; Area Lighting</t>
  </si>
  <si>
    <t xml:space="preserve">     597-Meters</t>
  </si>
  <si>
    <t xml:space="preserve">     598-Misc Distribution Plant</t>
  </si>
  <si>
    <t xml:space="preserve">     Total Distribution Expense</t>
  </si>
  <si>
    <t>Customer Accounts Expense</t>
  </si>
  <si>
    <t xml:space="preserve">     901-Supervision &amp; Engineering</t>
  </si>
  <si>
    <t xml:space="preserve">     902-Meter Reading</t>
  </si>
  <si>
    <t xml:space="preserve">     903-Customer Records &amp; Collection Expense</t>
  </si>
  <si>
    <t xml:space="preserve">     9040000-Uncollectable Accounts</t>
  </si>
  <si>
    <t xml:space="preserve">     9040007-Uncollectible Misc Receivables</t>
  </si>
  <si>
    <t xml:space="preserve">     905-Misc Customer Accounts</t>
  </si>
  <si>
    <t>Customer Information Expense</t>
  </si>
  <si>
    <t xml:space="preserve">     907-Supervision</t>
  </si>
  <si>
    <t xml:space="preserve">     908-Customer Assistance</t>
  </si>
  <si>
    <t xml:space="preserve">     909-Information &amp; Instruction</t>
  </si>
  <si>
    <t xml:space="preserve">     910-Misc Customer Service</t>
  </si>
  <si>
    <t>Customer Service</t>
  </si>
  <si>
    <t xml:space="preserve">     911-Supervision</t>
  </si>
  <si>
    <t xml:space="preserve">     912-Demo &amp; Selling</t>
  </si>
  <si>
    <t xml:space="preserve">     913-Advertising</t>
  </si>
  <si>
    <t xml:space="preserve">     916-Misc SALES Expense</t>
  </si>
  <si>
    <t>Administrative &amp; General Expense</t>
  </si>
  <si>
    <t xml:space="preserve">     920-Salaries</t>
  </si>
  <si>
    <t xml:space="preserve">     921-Office Supplies</t>
  </si>
  <si>
    <t xml:space="preserve">     922-Administrative Expense Transferred</t>
  </si>
  <si>
    <t xml:space="preserve">     923-Outside Services</t>
  </si>
  <si>
    <t xml:space="preserve">     924-Property Insurance</t>
  </si>
  <si>
    <t xml:space="preserve">     925-Injuries &amp; Damages</t>
  </si>
  <si>
    <t xml:space="preserve">     926-Employee Pension &amp; Benefits</t>
  </si>
  <si>
    <t xml:space="preserve">     9260057 Post Ret Medicare Subsidy Direct</t>
  </si>
  <si>
    <t xml:space="preserve">     927-Franchise Requirements</t>
  </si>
  <si>
    <t xml:space="preserve">     928-Regulatory Commission Expense Allocated</t>
  </si>
  <si>
    <t xml:space="preserve">     930.1-General Advertising Expense</t>
  </si>
  <si>
    <t xml:space="preserve">     930.2-Misc General Expense</t>
  </si>
  <si>
    <t xml:space="preserve">     931-Rent</t>
  </si>
  <si>
    <t xml:space="preserve">     935-Admin &amp; General Maintenance</t>
  </si>
  <si>
    <t xml:space="preserve">     9350015 - Software License Deferral</t>
  </si>
  <si>
    <t xml:space="preserve">     Total Admin &amp; General Expense</t>
  </si>
  <si>
    <t>Depreciation Expense</t>
  </si>
  <si>
    <t xml:space="preserve">      Production</t>
  </si>
  <si>
    <t xml:space="preserve">     Transmission Excl. GSU's</t>
  </si>
  <si>
    <t xml:space="preserve">     Transmission - GSU's</t>
  </si>
  <si>
    <t>Amortization Expense</t>
  </si>
  <si>
    <t xml:space="preserve">     Intangible Plant</t>
  </si>
  <si>
    <t>Regulatory Debits</t>
  </si>
  <si>
    <t>Taxes Other than F.I.T.</t>
  </si>
  <si>
    <t>Current Payroll Taxes</t>
  </si>
  <si>
    <t xml:space="preserve">     FICA</t>
  </si>
  <si>
    <t xml:space="preserve">     Fed Unemployment</t>
  </si>
  <si>
    <t xml:space="preserve">     State Unemployment</t>
  </si>
  <si>
    <t xml:space="preserve"> Real and Personal Property Tax</t>
  </si>
  <si>
    <t>Net Plant</t>
  </si>
  <si>
    <t>Sales &amp; Use</t>
  </si>
  <si>
    <t>Regis Fee</t>
  </si>
  <si>
    <t>Business Franchise Taxes</t>
  </si>
  <si>
    <t>Federal Excise</t>
  </si>
  <si>
    <t>Taxes on Capital Leases</t>
  </si>
  <si>
    <t>Interest On Customer Deposits</t>
  </si>
  <si>
    <t>Other Expense Items</t>
  </si>
  <si>
    <t>G/L Disp. Of Util Plant Gain Disp. Of Util Plant 4116000</t>
  </si>
  <si>
    <t>Loss Disp. Of Util Plant 4117000</t>
  </si>
  <si>
    <t>Accretion 4110005</t>
  </si>
  <si>
    <t>A/R Factoring</t>
  </si>
  <si>
    <t>431-Other Interest Expense</t>
  </si>
  <si>
    <t xml:space="preserve">     Total Other</t>
  </si>
  <si>
    <t>Income Taxes</t>
  </si>
  <si>
    <t>Current Federal Income Taxes</t>
  </si>
  <si>
    <t>Deferred Federal Income Taxes</t>
  </si>
  <si>
    <t>Deferred Investment Tax Credit</t>
  </si>
  <si>
    <t xml:space="preserve">     Total Income Taxes</t>
  </si>
  <si>
    <t>Production</t>
  </si>
  <si>
    <t>KPCo TOTAL</t>
  </si>
  <si>
    <t>Operating Revenues - Sale of Electricity</t>
  </si>
  <si>
    <t>Operating Revenues - Sales of Electricity</t>
  </si>
  <si>
    <t xml:space="preserve">     5010005-Def Fuel</t>
  </si>
  <si>
    <t xml:space="preserve">     561-Load Dispatching</t>
  </si>
  <si>
    <t xml:space="preserve">     5930010 Storm Expense Amortization</t>
  </si>
  <si>
    <t xml:space="preserve">     928- Rate Case Expense</t>
  </si>
  <si>
    <t xml:space="preserve">    Reg Debits - 4073000</t>
  </si>
  <si>
    <t>Municipal License</t>
  </si>
  <si>
    <t>P.S.C.</t>
  </si>
  <si>
    <t>Gross Reciepts Tax</t>
  </si>
  <si>
    <t>Current/Deferred State Income Tax</t>
  </si>
  <si>
    <t>ITC Adjustment</t>
  </si>
  <si>
    <t>AFUDC Offset</t>
  </si>
  <si>
    <t>Prov-Leased Assets - Capital Leases 1011006</t>
  </si>
  <si>
    <t>Capital Leases Acct 1011001</t>
  </si>
  <si>
    <t>Accrued Capital Leases Acct 1011012</t>
  </si>
  <si>
    <t>KENTUCKY POWER COMPANY</t>
  </si>
  <si>
    <t>LINE       NO.</t>
  </si>
  <si>
    <t>DESCRIPTION</t>
  </si>
  <si>
    <t>FACTOR</t>
  </si>
  <si>
    <t>RETAIL</t>
  </si>
  <si>
    <t>SOURCE</t>
  </si>
  <si>
    <t>Production Demand</t>
  </si>
  <si>
    <t>PDAF</t>
  </si>
  <si>
    <t>Transmission Demand</t>
  </si>
  <si>
    <t>TDAF</t>
  </si>
  <si>
    <t>EAF</t>
  </si>
  <si>
    <t>Gross Plant Transmission</t>
  </si>
  <si>
    <t>GP-TRANS</t>
  </si>
  <si>
    <t>Gross Plant Distribution</t>
  </si>
  <si>
    <t>GP-DIST</t>
  </si>
  <si>
    <t>Gross Plant - T&amp;D</t>
  </si>
  <si>
    <t>GP-T&amp;D</t>
  </si>
  <si>
    <t>Gross Plant - PTD</t>
  </si>
  <si>
    <t>GP-PTD</t>
  </si>
  <si>
    <t>Gross Plant - Total</t>
  </si>
  <si>
    <t>GP-TOT</t>
  </si>
  <si>
    <t>NP</t>
  </si>
  <si>
    <t>O&amp;M Expense</t>
  </si>
  <si>
    <t>O&amp;M</t>
  </si>
  <si>
    <t>O&amp;M Labor</t>
  </si>
  <si>
    <t>OML</t>
  </si>
  <si>
    <t>Operating Revenue</t>
  </si>
  <si>
    <t>OP-REV</t>
  </si>
  <si>
    <t>SPECIFIC</t>
  </si>
  <si>
    <t>N/A</t>
  </si>
  <si>
    <t>JURIS ONLY</t>
  </si>
  <si>
    <t>KENTUCKY PSC</t>
  </si>
  <si>
    <t>NON-KY P.S.C</t>
  </si>
  <si>
    <t>PDAF / EAF</t>
  </si>
  <si>
    <t>Operating Revenues - Wholesale Sales of Electricity</t>
  </si>
  <si>
    <t>System Sales Clause</t>
  </si>
  <si>
    <t>Labor - OML</t>
  </si>
  <si>
    <t>Regional Market Expenses</t>
  </si>
  <si>
    <t xml:space="preserve">     Electric Plant In Service - Net</t>
  </si>
  <si>
    <t>Prepayments</t>
  </si>
  <si>
    <t>Materials &amp; Supplies</t>
  </si>
  <si>
    <t>Cash Working Capital</t>
  </si>
  <si>
    <t xml:space="preserve">     Customer Advances</t>
  </si>
  <si>
    <t>Customer Advances &amp; Deposits</t>
  </si>
  <si>
    <t>Specific</t>
  </si>
  <si>
    <t xml:space="preserve">     Total Power Production</t>
  </si>
  <si>
    <t xml:space="preserve">     Transmission Expense</t>
  </si>
  <si>
    <t xml:space="preserve">     Total Customer Related Expense</t>
  </si>
  <si>
    <t xml:space="preserve">     Total A&amp;G Expense</t>
  </si>
  <si>
    <t xml:space="preserve">     501-Fuel Delivered and Consumed</t>
  </si>
  <si>
    <t xml:space="preserve">     501-Fuel Other</t>
  </si>
  <si>
    <t xml:space="preserve">KPSC                                         Maintenance                                                                      Assessment                                               </t>
  </si>
  <si>
    <t xml:space="preserve">Normalization                                                             Major Storms  </t>
  </si>
  <si>
    <t>Capacity Charge Revenues                                                                Rockport                                                        Unit Power Agreement</t>
  </si>
  <si>
    <t>State Income Tax Rate</t>
  </si>
  <si>
    <t>Federal Income Tax Rate</t>
  </si>
  <si>
    <t>Rate Case                                                                               Expense</t>
  </si>
  <si>
    <t xml:space="preserve">  ITC Adjustment</t>
  </si>
  <si>
    <t>Interest                                        Synchronization</t>
  </si>
  <si>
    <t>Customer                                     Migration</t>
  </si>
  <si>
    <t xml:space="preserve">Customer                                     Annualization </t>
  </si>
  <si>
    <t>KY PSC JURIS</t>
  </si>
  <si>
    <t xml:space="preserve">     Total Transmission Expense</t>
  </si>
  <si>
    <t xml:space="preserve">     Total Power Production Expense</t>
  </si>
  <si>
    <t xml:space="preserve">     Total Admin.&amp; General Expense</t>
  </si>
  <si>
    <t xml:space="preserve">KPCo AFUDC                                                                     Offset </t>
  </si>
  <si>
    <t>Mitchell                                                                  Coal                                                                                 Stock</t>
  </si>
  <si>
    <t>Carrs Site</t>
  </si>
  <si>
    <t>Labor - OML / SPECIFIC</t>
  </si>
  <si>
    <t>Kentucky Power Company</t>
  </si>
  <si>
    <r>
      <t xml:space="preserve">Acct       </t>
    </r>
    <r>
      <rPr>
        <u/>
        <sz val="10"/>
        <rFont val="Arial"/>
        <family val="2"/>
      </rPr>
      <t>No.</t>
    </r>
  </si>
  <si>
    <t>Expense</t>
  </si>
  <si>
    <t>Supervision &amp; Engineering</t>
  </si>
  <si>
    <t>Fuel</t>
  </si>
  <si>
    <t>Fuel Expense Deferred</t>
  </si>
  <si>
    <t>Steam Expense</t>
  </si>
  <si>
    <t>Electric Expense</t>
  </si>
  <si>
    <t>Misc Steam Power Expense</t>
  </si>
  <si>
    <t>Rents</t>
  </si>
  <si>
    <t>Allowances</t>
  </si>
  <si>
    <t>Steam Generation Maintenance</t>
  </si>
  <si>
    <t>514 &amp; 515</t>
  </si>
  <si>
    <t>Maintenance of Structures</t>
  </si>
  <si>
    <t>Maintenance of Boiler Plant</t>
  </si>
  <si>
    <t>Maintenance of Electric Plant</t>
  </si>
  <si>
    <t>Maintenance of Miscellaneous Steam</t>
  </si>
  <si>
    <t>Total Steam Power O &amp; M</t>
  </si>
  <si>
    <t>Total Steam Generation - Maintenance</t>
  </si>
  <si>
    <t>Total KPCo O&amp;M Expense Per Books</t>
  </si>
  <si>
    <t>Total O&amp;M Payroll</t>
  </si>
  <si>
    <t>A&amp;G Excluding Regulation</t>
  </si>
  <si>
    <t>Restated Expense</t>
  </si>
  <si>
    <t>Non-Jurisdictional</t>
  </si>
  <si>
    <t>Customer Account Expense</t>
  </si>
  <si>
    <t>Customer Services</t>
  </si>
  <si>
    <t>A &amp; G Regulatory</t>
  </si>
  <si>
    <t>A &amp; G Other</t>
  </si>
  <si>
    <t>Total Operating &amp; Maintenance Expense</t>
  </si>
  <si>
    <t>Operations</t>
  </si>
  <si>
    <t>Maintenance</t>
  </si>
  <si>
    <t>Distribution Operations Expense</t>
  </si>
  <si>
    <t>Distribution Maintenance Expense</t>
  </si>
  <si>
    <t>Purchased</t>
  </si>
  <si>
    <t>System Pool</t>
  </si>
  <si>
    <t>Total Purchased Power</t>
  </si>
  <si>
    <t>Less:</t>
  </si>
  <si>
    <t>System Sales / Resale</t>
  </si>
  <si>
    <t>System Sales/Resale's - Associated Companies</t>
  </si>
  <si>
    <t>Transmission Charges</t>
  </si>
  <si>
    <t>Total System Sales</t>
  </si>
  <si>
    <t>Backup Energy</t>
  </si>
  <si>
    <t xml:space="preserve">Total </t>
  </si>
  <si>
    <t>Purchased Power</t>
  </si>
  <si>
    <t>Capacity</t>
  </si>
  <si>
    <t>Total</t>
  </si>
  <si>
    <t>Account 1823022</t>
  </si>
  <si>
    <t>Account 1823054</t>
  </si>
  <si>
    <t>MONTHLY BOOK CREDITS</t>
  </si>
  <si>
    <t>ALLOWANCE FOR FUNDS USED DURING CONSTRUCTION (AFUDC) - CREDITS</t>
  </si>
  <si>
    <r>
      <t xml:space="preserve">LINE             </t>
    </r>
    <r>
      <rPr>
        <u/>
        <sz val="10"/>
        <rFont val="Arial"/>
        <family val="2"/>
      </rPr>
      <t>NO.</t>
    </r>
  </si>
  <si>
    <t>MONTH</t>
  </si>
  <si>
    <r>
      <t xml:space="preserve">432         </t>
    </r>
    <r>
      <rPr>
        <u/>
        <sz val="10"/>
        <rFont val="Arial"/>
        <family val="2"/>
      </rPr>
      <t>Borrowed</t>
    </r>
  </si>
  <si>
    <r>
      <t xml:space="preserve">419               </t>
    </r>
    <r>
      <rPr>
        <u/>
        <sz val="10"/>
        <rFont val="Arial"/>
        <family val="2"/>
      </rPr>
      <t>Other</t>
    </r>
  </si>
  <si>
    <r>
      <t xml:space="preserve">Total             </t>
    </r>
    <r>
      <rPr>
        <u/>
        <sz val="10"/>
        <rFont val="Arial"/>
        <family val="2"/>
      </rPr>
      <t>AFUDC</t>
    </r>
  </si>
  <si>
    <t>April</t>
  </si>
  <si>
    <t xml:space="preserve"> 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</si>
  <si>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</si>
  <si>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</si>
  <si>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</si>
  <si>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</si>
  <si>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</si>
  <si>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</si>
  <si>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</si>
  <si>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</si>
  <si>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</si>
  <si>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</si>
  <si>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</si>
  <si>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-------------</t>
  </si>
  <si>
    <t>TOTAL</t>
  </si>
  <si>
    <t>=======</t>
  </si>
  <si>
    <t>=========</t>
  </si>
  <si>
    <t xml:space="preserve">    Total Operating Revenues</t>
  </si>
  <si>
    <t xml:space="preserve">    Total Operation and Maintenance Expense</t>
  </si>
  <si>
    <t xml:space="preserve">    Electric Plant In Service - Net</t>
  </si>
  <si>
    <t xml:space="preserve">    Total Intangible Plant</t>
  </si>
  <si>
    <t xml:space="preserve">    Total Steam Production</t>
  </si>
  <si>
    <t xml:space="preserve">    Total Nuclear Production</t>
  </si>
  <si>
    <t xml:space="preserve">    Total  Hydraulic Production</t>
  </si>
  <si>
    <t xml:space="preserve">    Total Other Production</t>
  </si>
  <si>
    <t xml:space="preserve">    Total Production Plant</t>
  </si>
  <si>
    <t xml:space="preserve">    Total Transmission Plant</t>
  </si>
  <si>
    <t xml:space="preserve">    Total Distribution Plant</t>
  </si>
  <si>
    <t xml:space="preserve">    Total General Plant</t>
  </si>
  <si>
    <t xml:space="preserve">    Total Capital Leases</t>
  </si>
  <si>
    <t xml:space="preserve">     Total Reserve for Depreciaton / RWIP</t>
  </si>
  <si>
    <t xml:space="preserve">     Total Transmission Plant</t>
  </si>
  <si>
    <t xml:space="preserve">     Total Distribution Plant</t>
  </si>
  <si>
    <t xml:space="preserve">     Total General Plant</t>
  </si>
  <si>
    <t xml:space="preserve">     Total Reserve for Amortization</t>
  </si>
  <si>
    <t xml:space="preserve">     Total Intangilbe Plant</t>
  </si>
  <si>
    <t xml:space="preserve">     Total Production Plant</t>
  </si>
  <si>
    <t xml:space="preserve">     Total Prov-Leased Assets</t>
  </si>
  <si>
    <t xml:space="preserve">     Total Plant Held for Future Use</t>
  </si>
  <si>
    <t xml:space="preserve">     Total Completed Construction Not Classified</t>
  </si>
  <si>
    <t xml:space="preserve">     Total Non-Firm Sales</t>
  </si>
  <si>
    <t xml:space="preserve">     Total Rent from Electric Property</t>
  </si>
  <si>
    <t xml:space="preserve">     Total Other Electric Revenues</t>
  </si>
  <si>
    <t xml:space="preserve">     Total Other Operating Revenues</t>
  </si>
  <si>
    <t xml:space="preserve">     Total Operating Revenues</t>
  </si>
  <si>
    <t xml:space="preserve">     Total Steam Operation</t>
  </si>
  <si>
    <t xml:space="preserve">     Total Steam Maintenance</t>
  </si>
  <si>
    <t xml:space="preserve">     Total Other Power Supply Expense</t>
  </si>
  <si>
    <t xml:space="preserve">     Total Production O&amp;M Expense</t>
  </si>
  <si>
    <t xml:space="preserve">     Total Transmission Operation Expense</t>
  </si>
  <si>
    <t xml:space="preserve">     Total Transmission Maintenance Expense</t>
  </si>
  <si>
    <t xml:space="preserve">     Total Transmission O&amp;M Expense</t>
  </si>
  <si>
    <t xml:space="preserve">     Total Distribution Operation</t>
  </si>
  <si>
    <t xml:space="preserve">     Total Distribution Maintenance</t>
  </si>
  <si>
    <t xml:space="preserve">     Total Customer Accounts</t>
  </si>
  <si>
    <t xml:space="preserve">     Total Customer Information</t>
  </si>
  <si>
    <t xml:space="preserve">     Total Customer Service</t>
  </si>
  <si>
    <t xml:space="preserve">     Total Admin &amp; General Operation</t>
  </si>
  <si>
    <t xml:space="preserve">     Total Operation &amp; Maint Exp</t>
  </si>
  <si>
    <t xml:space="preserve">        Subtotal</t>
  </si>
  <si>
    <t xml:space="preserve">     Total Cash Working Capital</t>
  </si>
  <si>
    <t xml:space="preserve">     Total Depreciation Expense</t>
  </si>
  <si>
    <t xml:space="preserve">     Total Amortization Expense</t>
  </si>
  <si>
    <t xml:space="preserve">     Total Regulatory Debits</t>
  </si>
  <si>
    <t xml:space="preserve">     Total Depreciation &amp; Amortization Expense</t>
  </si>
  <si>
    <t xml:space="preserve">     Total Payroll Related Tax</t>
  </si>
  <si>
    <t xml:space="preserve">     Total Taxes Other than F.I.T.</t>
  </si>
  <si>
    <t xml:space="preserve">     Total Acc Prov Depreciation and Amortization</t>
  </si>
  <si>
    <t xml:space="preserve">     Total Materials &amp; Supplies</t>
  </si>
  <si>
    <t xml:space="preserve">     Total Prepayments</t>
  </si>
  <si>
    <t xml:space="preserve">     Total Intangible Plant</t>
  </si>
  <si>
    <t xml:space="preserve">     Total Steam Production</t>
  </si>
  <si>
    <t xml:space="preserve">     Total Nuclear Production</t>
  </si>
  <si>
    <t xml:space="preserve">     Total  Hydraulic Production</t>
  </si>
  <si>
    <t xml:space="preserve">     Total Other Production</t>
  </si>
  <si>
    <t xml:space="preserve">     Total Capital Leases</t>
  </si>
  <si>
    <t>Real and Personal Property Tax</t>
  </si>
  <si>
    <t>System Sales Adjusted</t>
  </si>
  <si>
    <t>SECTION   V</t>
  </si>
  <si>
    <t>FULLY ADJUSTED BASE CASE SUMMARY</t>
  </si>
  <si>
    <t>SCHEDULE   1</t>
  </si>
  <si>
    <r>
      <t xml:space="preserve">LINE   </t>
    </r>
    <r>
      <rPr>
        <u/>
        <sz val="10"/>
        <rFont val="Arial"/>
        <family val="2"/>
      </rPr>
      <t>NO.</t>
    </r>
  </si>
  <si>
    <r>
      <t xml:space="preserve">BASE CASE PSC </t>
    </r>
    <r>
      <rPr>
        <u/>
        <sz val="10"/>
        <rFont val="Arial"/>
        <family val="2"/>
      </rPr>
      <t>JURISDICTION</t>
    </r>
  </si>
  <si>
    <r>
      <t xml:space="preserve">PROPOSED </t>
    </r>
    <r>
      <rPr>
        <u/>
        <sz val="10"/>
        <rFont val="Arial"/>
        <family val="2"/>
      </rPr>
      <t>CHANGE</t>
    </r>
  </si>
  <si>
    <r>
      <t xml:space="preserve">ADJUSTED PSC </t>
    </r>
    <r>
      <rPr>
        <u/>
        <sz val="10"/>
        <rFont val="Arial"/>
        <family val="2"/>
      </rPr>
      <t>JURISDICTION</t>
    </r>
  </si>
  <si>
    <t>Operating Revenues</t>
  </si>
  <si>
    <t>Sales Of Electricity</t>
  </si>
  <si>
    <t>--------------------</t>
  </si>
  <si>
    <t>Total Operating Revenues</t>
  </si>
  <si>
    <t>Operating Expenses</t>
  </si>
  <si>
    <t>Operation &amp; Maintenance</t>
  </si>
  <si>
    <t>Depreciation</t>
  </si>
  <si>
    <t>Taxes Other Than Income Taxes</t>
  </si>
  <si>
    <t>Federal Income Tax :</t>
  </si>
  <si>
    <t xml:space="preserve">       Current</t>
  </si>
  <si>
    <t xml:space="preserve">       Deferred</t>
  </si>
  <si>
    <t xml:space="preserve">       ITC Adjustment</t>
  </si>
  <si>
    <t>Total Operating Expenses</t>
  </si>
  <si>
    <t>AFUDC Offset Adjustment / Deferred Income</t>
  </si>
  <si>
    <t xml:space="preserve">Net Electric Operating Income - Adjusted  </t>
  </si>
  <si>
    <t>============</t>
  </si>
  <si>
    <t>Capitalization</t>
  </si>
  <si>
    <t>Change in Revenue Requirement</t>
  </si>
  <si>
    <t>Rate of Return (WP S-2, Pg 1, L 5, Col 6)</t>
  </si>
  <si>
    <t>SECTION V</t>
  </si>
  <si>
    <t>SCHEDULE 2</t>
  </si>
  <si>
    <t>Line       No.</t>
  </si>
  <si>
    <t xml:space="preserve">Percent of                  Incremental                          Gross Revenues </t>
  </si>
  <si>
    <t>---------------------</t>
  </si>
  <si>
    <t>Required Net Electric Operating Income (L1 X L2)</t>
  </si>
  <si>
    <t>Net Electric Operating Income Change (L3 - L4)</t>
  </si>
  <si>
    <t>Gross Revenue Conversion Factor (Per WP S-2, Pg 2, L 9)</t>
  </si>
  <si>
    <t>Change in Revenue Requirement (L5 X L6) Increase / (Decrease)</t>
  </si>
  <si>
    <t>*</t>
  </si>
  <si>
    <t>===========</t>
  </si>
  <si>
    <t>COST OF CAPITAL</t>
  </si>
  <si>
    <t>WORKPAPER S-2</t>
  </si>
  <si>
    <t>PAGE 1 OF 3</t>
  </si>
  <si>
    <t>Reapportioned</t>
  </si>
  <si>
    <t>Annual</t>
  </si>
  <si>
    <t>Weighted</t>
  </si>
  <si>
    <t>Kentucky</t>
  </si>
  <si>
    <t>Percentage</t>
  </si>
  <si>
    <t>Cost</t>
  </si>
  <si>
    <t>Average</t>
  </si>
  <si>
    <t>Jurisdictional</t>
  </si>
  <si>
    <t>of</t>
  </si>
  <si>
    <t>Capital   1/</t>
  </si>
  <si>
    <t>Rate</t>
  </si>
  <si>
    <t>Percent</t>
  </si>
  <si>
    <t>(6) = (4) X (5)</t>
  </si>
  <si>
    <t>Long Term Debt</t>
  </si>
  <si>
    <t>2/</t>
  </si>
  <si>
    <t>Short Term Debt</t>
  </si>
  <si>
    <t>3/</t>
  </si>
  <si>
    <t>Accounts Receivable Financing 4/</t>
  </si>
  <si>
    <t>5/</t>
  </si>
  <si>
    <t>Common Equity</t>
  </si>
  <si>
    <t>6/</t>
  </si>
  <si>
    <t>-------------------</t>
  </si>
  <si>
    <t>==========</t>
  </si>
  <si>
    <t>1/</t>
  </si>
  <si>
    <t>Per workpaper S-3, Pg 2, Ln 16</t>
  </si>
  <si>
    <t>4/</t>
  </si>
  <si>
    <t>Per Commission Order March 31, 2003 Case No. 2002-00169</t>
  </si>
  <si>
    <t>PAGE 2 OF 3</t>
  </si>
  <si>
    <t>Less: Uncollectible Accounts Expense   1/</t>
  </si>
  <si>
    <t>KPSC Maintenance Fee</t>
  </si>
  <si>
    <t>Income Before income Taxes</t>
  </si>
  <si>
    <t>Income Before Federal Income Taxes</t>
  </si>
  <si>
    <t>Less: Federal income Taxes (L6 X 35.00%)</t>
  </si>
  <si>
    <t>Operating Income Percentage</t>
  </si>
  <si>
    <t>Gross Revenue Conversion Factor (100% / L8)</t>
  </si>
  <si>
    <t>1/   Per Workpaper S-2, Page 3, Col 5, Line 5</t>
  </si>
  <si>
    <t>2/   State Income Tax Effective Rate Calculations</t>
  </si>
  <si>
    <t>State Income Tax Rate - Illinois</t>
  </si>
  <si>
    <t>Apportionment Factor</t>
  </si>
  <si>
    <t>----------------</t>
  </si>
  <si>
    <t>Effective Illinois State Income Tax Rate</t>
  </si>
  <si>
    <t>State Income Tax Rate - KY</t>
  </si>
  <si>
    <t>Effective Kentucky State Income Tax Rate</t>
  </si>
  <si>
    <t>State Income Tax Rate - Michigan</t>
  </si>
  <si>
    <t>Effective Michigan State Income Tax Rate</t>
  </si>
  <si>
    <t>State Income Tax Rate - WV</t>
  </si>
  <si>
    <t>Effective West Virginia State Income Tax Rate</t>
  </si>
  <si>
    <t>Total Effective State Income Tax Rate</t>
  </si>
  <si>
    <t>PAGE 3 OF 3</t>
  </si>
  <si>
    <t>Electric       Revenues</t>
  </si>
  <si>
    <t>Account-Net       Charged Off</t>
  </si>
  <si>
    <t>Percent of Electric       Revenues</t>
  </si>
  <si>
    <t>Three Year Average</t>
  </si>
  <si>
    <t>CAPITALIZATION</t>
  </si>
  <si>
    <t>Mitchell</t>
  </si>
  <si>
    <t>FRECO</t>
  </si>
  <si>
    <t>Non</t>
  </si>
  <si>
    <t>PER BOOK</t>
  </si>
  <si>
    <t>Coal Stock</t>
  </si>
  <si>
    <t>A/C 124</t>
  </si>
  <si>
    <t>CARRS</t>
  </si>
  <si>
    <t>Utility</t>
  </si>
  <si>
    <t>Sub</t>
  </si>
  <si>
    <t>BALANCE</t>
  </si>
  <si>
    <t>Adjustment</t>
  </si>
  <si>
    <t>Property</t>
  </si>
  <si>
    <t>Site</t>
  </si>
  <si>
    <t>Accounts Receivable Financing</t>
  </si>
  <si>
    <t>Sub-Total</t>
  </si>
  <si>
    <t>Job Development Tax Credit</t>
  </si>
  <si>
    <t>($000)</t>
  </si>
  <si>
    <t>Net Proceeds</t>
  </si>
  <si>
    <t>Cost of</t>
  </si>
  <si>
    <t>Original</t>
  </si>
  <si>
    <t>on Principal</t>
  </si>
  <si>
    <t>Debt</t>
  </si>
  <si>
    <t xml:space="preserve">Average </t>
  </si>
  <si>
    <t>Principal</t>
  </si>
  <si>
    <t>Discount</t>
  </si>
  <si>
    <t>Amt. Based on</t>
  </si>
  <si>
    <t>Net</t>
  </si>
  <si>
    <t>Effective</t>
  </si>
  <si>
    <t>Current</t>
  </si>
  <si>
    <t>Based on</t>
  </si>
  <si>
    <t>Name</t>
  </si>
  <si>
    <t>Ln</t>
  </si>
  <si>
    <t>Interest</t>
  </si>
  <si>
    <t>Date of</t>
  </si>
  <si>
    <t>Term</t>
  </si>
  <si>
    <t>Amount</t>
  </si>
  <si>
    <t>(Prem) &amp;</t>
  </si>
  <si>
    <t>Original Prem.</t>
  </si>
  <si>
    <t>Proceed</t>
  </si>
  <si>
    <t xml:space="preserve">Carrying </t>
  </si>
  <si>
    <t xml:space="preserve">Cost of </t>
  </si>
  <si>
    <t>No</t>
  </si>
  <si>
    <t>Rate (%)</t>
  </si>
  <si>
    <t>Offering</t>
  </si>
  <si>
    <t>Maturity</t>
  </si>
  <si>
    <t>InYears</t>
  </si>
  <si>
    <t>Issued</t>
  </si>
  <si>
    <t>(Disc) &amp; Exp</t>
  </si>
  <si>
    <t>Ratio</t>
  </si>
  <si>
    <t>Outstanding</t>
  </si>
  <si>
    <t>Value</t>
  </si>
  <si>
    <t>Issuer</t>
  </si>
  <si>
    <t>KPCo</t>
  </si>
  <si>
    <t>Subtotal</t>
  </si>
  <si>
    <t>Senior Notes</t>
  </si>
  <si>
    <t>Senior Unsecured Notes</t>
  </si>
  <si>
    <t>06/13/2003</t>
  </si>
  <si>
    <t>12/01/2032</t>
  </si>
  <si>
    <t>06/18/2009</t>
  </si>
  <si>
    <t>06/18/2021</t>
  </si>
  <si>
    <t>06/18/2029</t>
  </si>
  <si>
    <t>06/18/2039</t>
  </si>
  <si>
    <t>Total Kentucky Power</t>
  </si>
  <si>
    <t>WORKPAPER S-3</t>
  </si>
  <si>
    <t>PAGE 2 OF 4</t>
  </si>
  <si>
    <t>Month</t>
  </si>
  <si>
    <t>Year</t>
  </si>
  <si>
    <t>Notes Payable                        Outstanding at                                                   End of Month</t>
  </si>
  <si>
    <t>---------------</t>
  </si>
  <si>
    <t>Average Borrowings Outstanding During the Period</t>
  </si>
  <si>
    <t>Weighted Average Interest Rate of Borrowings</t>
  </si>
  <si>
    <t xml:space="preserve">       Outstanding During the Period (Ln 15 / Ln 14)</t>
  </si>
  <si>
    <t>========</t>
  </si>
  <si>
    <t>Line No.</t>
  </si>
  <si>
    <t>Tons</t>
  </si>
  <si>
    <t>Average       $/Ton</t>
  </si>
  <si>
    <t>PAGE 4 OF 4</t>
  </si>
  <si>
    <t xml:space="preserve">     502-Steam / Consumables</t>
  </si>
  <si>
    <t>(5)</t>
  </si>
  <si>
    <t>(6)</t>
  </si>
  <si>
    <t>Customers</t>
  </si>
  <si>
    <t>CUST.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</si>
  <si>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</si>
  <si>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</si>
  <si>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</si>
  <si>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</si>
  <si>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</si>
  <si>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</si>
  <si>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</si>
  <si>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</si>
  <si>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</si>
  <si>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</si>
  <si>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</si>
  <si>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</si>
  <si>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</si>
  <si>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Date of MW Peak</t>
  </si>
  <si>
    <t>TOTAL /</t>
  </si>
  <si>
    <t>Hour of MW Peak</t>
  </si>
  <si>
    <t>1400</t>
  </si>
  <si>
    <t>1600</t>
  </si>
  <si>
    <t>0800</t>
  </si>
  <si>
    <t>AVERAGE</t>
  </si>
  <si>
    <t>------------------</t>
  </si>
  <si>
    <t>Kentucky Peaks - Max. Load (MW)   *</t>
  </si>
  <si>
    <t>System Sales Excluding Losses</t>
  </si>
  <si>
    <t xml:space="preserve">       Loss %</t>
  </si>
  <si>
    <t>System Sales Including Losses</t>
  </si>
  <si>
    <t>Municipals (FERC Jurisdiction)</t>
  </si>
  <si>
    <t>Olive Hill, Excluding Losses</t>
  </si>
  <si>
    <t>Olive Hill, Including Losses</t>
  </si>
  <si>
    <t>Vanceburg, Excluding Losses</t>
  </si>
  <si>
    <t>Vanceburg, Including Losses</t>
  </si>
  <si>
    <t>Total Municipals Including Losses</t>
  </si>
  <si>
    <t>Allocation Factor (FERC Jurisdictional)</t>
  </si>
  <si>
    <t>/</t>
  </si>
  <si>
    <t>=</t>
  </si>
  <si>
    <t>Retail (KY Jurisdictional) Load</t>
  </si>
  <si>
    <t>Allocation Factor (KPSC Jurisdictional)</t>
  </si>
  <si>
    <t>Kentucky Power Company Internal Load plus System Sales at time of Internal Peak.</t>
  </si>
  <si>
    <t>MWH</t>
  </si>
  <si>
    <r>
      <t xml:space="preserve">% LOSS       </t>
    </r>
    <r>
      <rPr>
        <u/>
        <sz val="10"/>
        <rFont val="Arial"/>
        <family val="2"/>
      </rPr>
      <t>FACTOR</t>
    </r>
  </si>
  <si>
    <r>
      <t xml:space="preserve">MWH       </t>
    </r>
    <r>
      <rPr>
        <u/>
        <sz val="10"/>
        <rFont val="Arial"/>
        <family val="2"/>
      </rPr>
      <t>LOSSES</t>
    </r>
  </si>
  <si>
    <r>
      <t xml:space="preserve">MWH W /       </t>
    </r>
    <r>
      <rPr>
        <u/>
        <sz val="10"/>
        <rFont val="Arial"/>
        <family val="2"/>
      </rPr>
      <t>LOSSES</t>
    </r>
  </si>
  <si>
    <t xml:space="preserve">Transmission - </t>
  </si>
  <si>
    <t>Firm Sales - Vanceburg</t>
  </si>
  <si>
    <t xml:space="preserve">Distribution - </t>
  </si>
  <si>
    <t>Firm Sales - Olive Hill</t>
  </si>
  <si>
    <r>
      <t xml:space="preserve">TOTAL       </t>
    </r>
    <r>
      <rPr>
        <u/>
        <sz val="10"/>
        <rFont val="Arial"/>
        <family val="2"/>
      </rPr>
      <t xml:space="preserve">COMPANY       </t>
    </r>
  </si>
  <si>
    <t>ELIMINATION</t>
  </si>
  <si>
    <r>
      <t xml:space="preserve">TOTAL       COMPANY       </t>
    </r>
    <r>
      <rPr>
        <u/>
        <sz val="10"/>
        <rFont val="Arial"/>
        <family val="2"/>
      </rPr>
      <t>ADJUSTED</t>
    </r>
  </si>
  <si>
    <r>
      <t xml:space="preserve">CITY OF       </t>
    </r>
    <r>
      <rPr>
        <u/>
        <sz val="10"/>
        <rFont val="Arial"/>
        <family val="2"/>
      </rPr>
      <t>OLIVE HILL</t>
    </r>
  </si>
  <si>
    <r>
      <t xml:space="preserve">CITY OF       </t>
    </r>
    <r>
      <rPr>
        <u/>
        <sz val="10"/>
        <rFont val="Arial"/>
        <family val="2"/>
      </rPr>
      <t>VANCEBURG</t>
    </r>
  </si>
  <si>
    <r>
      <t xml:space="preserve">TOTAL       </t>
    </r>
    <r>
      <rPr>
        <u/>
        <sz val="10"/>
        <rFont val="Arial"/>
        <family val="2"/>
      </rPr>
      <t>RETAIL</t>
    </r>
  </si>
  <si>
    <t>Sources of Energy</t>
  </si>
  <si>
    <t>Generation</t>
  </si>
  <si>
    <t>Purchases</t>
  </si>
  <si>
    <t>Net interchange</t>
  </si>
  <si>
    <t>Total Sources</t>
  </si>
  <si>
    <t>Disposition of Energy</t>
  </si>
  <si>
    <t>Sales / Ultimate Customers</t>
  </si>
  <si>
    <t>Sales for Resale</t>
  </si>
  <si>
    <t>Firm Sales (Mun.) - Olive Hill</t>
  </si>
  <si>
    <t>Firm Sales (Mun.) - Vanceburg</t>
  </si>
  <si>
    <t>Total Sales / Resale                                                   (LINES 10+11+12)</t>
  </si>
  <si>
    <t>Energy Losses</t>
  </si>
  <si>
    <t>Total Disposition                                                         (LINES 8+9+13+14)</t>
  </si>
  <si>
    <t>Allocation Factor</t>
  </si>
  <si>
    <t>City of Olive Hill</t>
  </si>
  <si>
    <t>City of Vanceburg</t>
  </si>
  <si>
    <t xml:space="preserve">Year </t>
  </si>
  <si>
    <t>Loss Factors by System</t>
  </si>
  <si>
    <t>% Demand</t>
  </si>
  <si>
    <t>% Energy</t>
  </si>
  <si>
    <r>
      <t xml:space="preserve"> Cumulative (Composite)</t>
    </r>
    <r>
      <rPr>
        <sz val="10"/>
        <rFont val="Arial"/>
        <family val="2"/>
      </rPr>
      <t xml:space="preserve"> Loss  Expansion Factors (1)</t>
    </r>
  </si>
  <si>
    <t>System</t>
  </si>
  <si>
    <t>Loss</t>
  </si>
  <si>
    <t>Subtransmission</t>
  </si>
  <si>
    <t xml:space="preserve">Distribution Substation Trxfrs - 69kV (1) </t>
  </si>
  <si>
    <t>Composite                             Loss</t>
  </si>
  <si>
    <r>
      <t>Notes:</t>
    </r>
    <r>
      <rPr>
        <sz val="10"/>
        <rFont val="Arial"/>
        <family val="2"/>
      </rPr>
      <t xml:space="preserve">  </t>
    </r>
  </si>
  <si>
    <t>(1) Composite Loss Factors are applicable to load metered at respective delivery point to determine losses back to the generator.</t>
  </si>
  <si>
    <t xml:space="preserve">  </t>
  </si>
  <si>
    <t>Allocated</t>
  </si>
  <si>
    <t xml:space="preserve">Eliminate Advertising                                 Expense        </t>
  </si>
  <si>
    <t xml:space="preserve">     Subtotal Gross Plant     GP-TOT</t>
  </si>
  <si>
    <t>State Business Occup Taxes</t>
  </si>
  <si>
    <t>G/L Disp. Of Allowances 411.8</t>
  </si>
  <si>
    <t>Exclude FERC RQ</t>
  </si>
  <si>
    <t>9/30/2014</t>
  </si>
  <si>
    <t>9/30/2026</t>
  </si>
  <si>
    <t>Pollution Control Bond</t>
  </si>
  <si>
    <t>Balance End of Test Year (Low Sulfur)</t>
  </si>
  <si>
    <t>Balance End of Test Year (High Sulfur)</t>
  </si>
  <si>
    <t>Daily Burn Rate  (Low Sulfur)</t>
  </si>
  <si>
    <t>Daily Burn Rate  (High Sulfur)</t>
  </si>
  <si>
    <t>Day Supply Requested (Low Sulfur)</t>
  </si>
  <si>
    <t>Day Supply Requested (High Sulfur)</t>
  </si>
  <si>
    <t>Days Supply on Hand - Low Sulfur (Ln 1 / Ln 3)</t>
  </si>
  <si>
    <t>Days Supply on Hand - High Sulfur (Ln 2 / Ln 4)</t>
  </si>
  <si>
    <t>=============</t>
  </si>
  <si>
    <t>Annualization                                                of Lease Costs</t>
  </si>
  <si>
    <t>ARO Accretion</t>
  </si>
  <si>
    <t xml:space="preserve">     Subtotal Gross Plant     GP-PTD</t>
  </si>
  <si>
    <t xml:space="preserve">     Subtotal Gross Plant     GP-TRANS</t>
  </si>
  <si>
    <t xml:space="preserve">     Subtotal Gross Plant     GP-DIST</t>
  </si>
  <si>
    <t xml:space="preserve">     Subtotal Gross Plant     GP-T&amp;D</t>
  </si>
  <si>
    <t>CUST</t>
  </si>
  <si>
    <t>Accretion 4111005</t>
  </si>
  <si>
    <t>AFUDC Offset - Production</t>
  </si>
  <si>
    <t>AFUDC Offset - Transmission</t>
  </si>
  <si>
    <t>AFUDC Offset - Distribution</t>
  </si>
  <si>
    <t>AFUDC Offset - General</t>
  </si>
  <si>
    <t xml:space="preserve">     456-Other Electric LSE Charge - Retail Demand</t>
  </si>
  <si>
    <t xml:space="preserve">     456-Other Electric LSE Charge - Retail Energy</t>
  </si>
  <si>
    <t xml:space="preserve">     456-Other Electric Non-Juris</t>
  </si>
  <si>
    <t xml:space="preserve">     456-Other ElectricTransmission ABD</t>
  </si>
  <si>
    <t xml:space="preserve">     456-Other Electric Transmission EKPC</t>
  </si>
  <si>
    <t xml:space="preserve">     456-Other Electric TO Revenues</t>
  </si>
  <si>
    <t xml:space="preserve">     456-Other Electric Distribution ABD</t>
  </si>
  <si>
    <t xml:space="preserve">     456-Other Electric Revenues DSM</t>
  </si>
  <si>
    <t xml:space="preserve">     565  Transmission by Others</t>
  </si>
  <si>
    <t xml:space="preserve">     565  LSE Transmission Purchases - Retail Demand</t>
  </si>
  <si>
    <t>4310007-Other Interest Expense</t>
  </si>
  <si>
    <t>13 Month Average Accounts Receivable Balance and 13 Month Average Annual Carrying Cost</t>
  </si>
  <si>
    <t>Acct 4190005</t>
  </si>
  <si>
    <t>Acct 4300003</t>
  </si>
  <si>
    <t>Mitchell FGD</t>
  </si>
  <si>
    <t>From Base to</t>
  </si>
  <si>
    <t>Environmental</t>
  </si>
  <si>
    <t xml:space="preserve"> CP Demand</t>
  </si>
  <si>
    <t>CP Demand</t>
  </si>
  <si>
    <t xml:space="preserve">     561-Load Dispatching - PJM</t>
  </si>
  <si>
    <t xml:space="preserve">     561-Load Dispatching - Company</t>
  </si>
  <si>
    <t>Removal</t>
  </si>
  <si>
    <t xml:space="preserve">     Subtotal O&amp;M Labor - OML</t>
  </si>
  <si>
    <t>Total Construction Work in Progress Less AFUDC</t>
  </si>
  <si>
    <t>Total  AFUDC</t>
  </si>
  <si>
    <t>Other Including Customer Deposits</t>
  </si>
  <si>
    <t xml:space="preserve">Term Loan </t>
  </si>
  <si>
    <t>Schedule M Adjustment  ---  Addback &lt;Deduct&gt;</t>
  </si>
  <si>
    <t>Normalization %</t>
  </si>
  <si>
    <t>HR-J Post in Service AFUDC</t>
  </si>
  <si>
    <t>Accum. Dep. On ARO Assets</t>
  </si>
  <si>
    <t>KPCO DEMAND ALLOCATION FACTORS</t>
  </si>
  <si>
    <t>KPCO ENERGY ALLOCATION FACTORS</t>
  </si>
  <si>
    <t>KPCO JURISDICTIONAL ALLOCATION FACTORS</t>
  </si>
  <si>
    <t>Schedule 9</t>
  </si>
  <si>
    <t>Schedule 10</t>
  </si>
  <si>
    <t>Schedule 9                                (Vanceburg)</t>
  </si>
  <si>
    <t>Schedule 9                                (Olive Hill)</t>
  </si>
  <si>
    <t>Schedule 10                                (Olive Hill)</t>
  </si>
  <si>
    <t>Schedule 10                                (Vanceburg)</t>
  </si>
  <si>
    <t>Sch 9</t>
  </si>
  <si>
    <t>Sch 10</t>
  </si>
  <si>
    <t>Sch 4, Line 425</t>
  </si>
  <si>
    <t>Sch 4, Line 423</t>
  </si>
  <si>
    <t>Sch 4, Line 167</t>
  </si>
  <si>
    <t>Sch 4, Line 169</t>
  </si>
  <si>
    <t>Sch 4, Line 171</t>
  </si>
  <si>
    <t>Sch 4, Line 173</t>
  </si>
  <si>
    <t>Sch 4, Line 39</t>
  </si>
  <si>
    <t>Total Operating Revenue</t>
  </si>
  <si>
    <t>Per workpaper S-3, Pg 1, Ln 15, Col 14</t>
  </si>
  <si>
    <t>Fuel Stock Requested - Low Sulfur (Ln 3 X Ln 7)</t>
  </si>
  <si>
    <t>Fuel Stock Requested - High Sulfur (Ln 4 X Ln 8)</t>
  </si>
  <si>
    <t>Adjustment to Test Year - Low Sulfur (Ln 9 - Ln 1)</t>
  </si>
  <si>
    <t>Adjustment to Test Year - High Sulfur (Ln 10 - Ln 1)</t>
  </si>
  <si>
    <t>KPCo's Adjustment Test Year (Ln 11 + Ln 12)</t>
  </si>
  <si>
    <t>KPSC Jurisdictional Amount (Ln 13 X Ln 14)</t>
  </si>
  <si>
    <r>
      <t xml:space="preserve">Monthly               Debt                          Rate                  </t>
    </r>
    <r>
      <rPr>
        <u/>
        <sz val="10"/>
        <rFont val="Arial"/>
        <family val="2"/>
      </rPr>
      <t>Applicable</t>
    </r>
  </si>
  <si>
    <r>
      <t xml:space="preserve">Monthly               Equity                        Rate                  </t>
    </r>
    <r>
      <rPr>
        <u/>
        <sz val="10"/>
        <rFont val="Arial"/>
        <family val="2"/>
      </rPr>
      <t>Applicable</t>
    </r>
  </si>
  <si>
    <r>
      <t>ENERGY</t>
    </r>
    <r>
      <rPr>
        <u/>
        <sz val="10"/>
        <rFont val="Arial"/>
        <family val="2"/>
      </rPr>
      <t xml:space="preserve"> LOSS CALCULATIONS</t>
    </r>
  </si>
  <si>
    <t>Capitalization (Per Sch 3, L 7, Col 14)</t>
  </si>
  <si>
    <t>A&amp;G Allocators</t>
  </si>
  <si>
    <t>Non-KY P.S.C. Juris</t>
  </si>
  <si>
    <t xml:space="preserve">     565  LSE Transmission Purchases - Retail Energy</t>
  </si>
  <si>
    <t xml:space="preserve">     565  Transmission Purchases - Non-Juris</t>
  </si>
  <si>
    <t>FERC Trans Rate Case Expense</t>
  </si>
  <si>
    <t>SPECIFIC/PDAF</t>
  </si>
  <si>
    <t xml:space="preserve">     508-IPP Operations</t>
  </si>
  <si>
    <t>12/30/2014</t>
  </si>
  <si>
    <t>12/30/2026</t>
  </si>
  <si>
    <t>Local Bank Term Loan</t>
  </si>
  <si>
    <t>Interest Expense for the Twelve Months Ended 12/31/2016</t>
  </si>
  <si>
    <t xml:space="preserve">     501-Gas Reservation Fee</t>
  </si>
  <si>
    <t>2016</t>
  </si>
  <si>
    <t xml:space="preserve">     Prepaid Pension Benefit -1650010</t>
  </si>
  <si>
    <t>Kentucky Internal Peak Load</t>
  </si>
  <si>
    <t xml:space="preserve">TOTAL       Non Retail Jurisdiction       </t>
  </si>
  <si>
    <t>Remove - Kentucky Electric Steel Load</t>
  </si>
  <si>
    <t>LSE OATT Charges - Retail Demand 565&amp;456</t>
  </si>
  <si>
    <t>LSE OATT Charges - Retail Energy 565&amp;456</t>
  </si>
  <si>
    <t>Trans COS - Demand</t>
  </si>
  <si>
    <t>Transmission Owner PJM Revenue</t>
  </si>
  <si>
    <t>CITY OF       HAMILTON</t>
  </si>
  <si>
    <t>Kentucky Electric Steel - loss of load</t>
  </si>
  <si>
    <t>MAR 3, 2016</t>
  </si>
  <si>
    <t>APR 10, 2016</t>
  </si>
  <si>
    <t>MAY 31, 2016</t>
  </si>
  <si>
    <t>JUN 16, 2016</t>
  </si>
  <si>
    <t>JUL 25, 2016</t>
  </si>
  <si>
    <t>AUG 9, 2016</t>
  </si>
  <si>
    <t>SEP 8, 2016</t>
  </si>
  <si>
    <t>OCT 19, 2016</t>
  </si>
  <si>
    <t>NOV 22, 2016</t>
  </si>
  <si>
    <t>DEC 16, 2016</t>
  </si>
  <si>
    <t>BSRR Direct Assign</t>
  </si>
  <si>
    <t>Carrs Site &amp; BS1OR Expense</t>
  </si>
  <si>
    <t>BS1OR Direct Assign</t>
  </si>
  <si>
    <t>Big Sandy Unit 1 Operation Rider Deferrals</t>
  </si>
  <si>
    <t>Remove DSM Rider</t>
  </si>
  <si>
    <t>Remove HEAP Surcharge</t>
  </si>
  <si>
    <t>Remove Economic Development Surcharge</t>
  </si>
  <si>
    <t>Pension and OPEB Expense</t>
  </si>
  <si>
    <t>Employee Related Group Benefit Expenses</t>
  </si>
  <si>
    <t>Severance Related Payroll Expenses</t>
  </si>
  <si>
    <t>ARO Depreciation Expense</t>
  </si>
  <si>
    <t>Fuel Under (Over) Revenue &amp; Expense</t>
  </si>
  <si>
    <t>O&amp;M Expense Interest on Customer Deposits</t>
  </si>
  <si>
    <t>Remove PJM BLIs from base for FAC inclusion</t>
  </si>
  <si>
    <t>PJM LSE OATT Expense</t>
  </si>
  <si>
    <t>Annualize PJM Admin Fees</t>
  </si>
  <si>
    <t>Forced Outage Adjustment</t>
  </si>
  <si>
    <t>System Sales Clause - reset OSS Margin Baseline</t>
  </si>
  <si>
    <t>PPA Rider Sync</t>
  </si>
  <si>
    <t>NERC Compliance &amp; Cyber Security</t>
  </si>
  <si>
    <t>Plant Maintenance Normalization</t>
  </si>
  <si>
    <t>Consumables</t>
  </si>
  <si>
    <t>Env Surcharge - Remove Mitchell FGD Expenses</t>
  </si>
  <si>
    <t>CATV Adjustment</t>
  </si>
  <si>
    <t>Postage Rate                                    Expense</t>
  </si>
  <si>
    <t>Decommissioning Rider Removal</t>
  </si>
  <si>
    <t>Remove Decommissioning Rider ADIT from Rate Base</t>
  </si>
  <si>
    <t>BSRR/</t>
  </si>
  <si>
    <t>Decommissioning</t>
  </si>
  <si>
    <t>Remove FGD Plant and M&amp;S from Rate Base (Mitchell)</t>
  </si>
  <si>
    <t>Environmental Surcharge Revenue Sync - remove FGD revenue, sync non-FGD revenue, remove deferrals</t>
  </si>
  <si>
    <t>Employee Complement Increase</t>
  </si>
  <si>
    <t>Allocation Factor - EAF</t>
  </si>
  <si>
    <t>ALLOCATED</t>
  </si>
  <si>
    <t>32-39</t>
  </si>
  <si>
    <t xml:space="preserve"> Adjustments</t>
  </si>
  <si>
    <t>Kentucky Jurisdiction</t>
  </si>
  <si>
    <t>Surcharge Book to Bill</t>
  </si>
  <si>
    <t>KY Retail</t>
  </si>
  <si>
    <t xml:space="preserve">     565  LSE Transmission Purchases </t>
  </si>
  <si>
    <t>State Gross Receipts Tax</t>
  </si>
  <si>
    <t>Adjust ADSIT Amortization Related to the Mitchell Plant</t>
  </si>
  <si>
    <t>Reduce base forestry expense</t>
  </si>
  <si>
    <t>Per Recommendation of Company Witnesses McKenzie</t>
  </si>
  <si>
    <t>Olive Hill Substation</t>
  </si>
  <si>
    <t>Olive Hill Meters</t>
  </si>
  <si>
    <t>Twelve Months Ended 2/28/2017</t>
  </si>
  <si>
    <t>Retail bad debt amount acct 4265010</t>
  </si>
  <si>
    <t>Carrs site sale - not included</t>
  </si>
  <si>
    <t xml:space="preserve">        KPCo Losses based on Test Year ended February 28, 2017</t>
  </si>
  <si>
    <t>JAN 9,
2017</t>
  </si>
  <si>
    <t>FEB 4,
2017</t>
  </si>
  <si>
    <t>0900</t>
  </si>
  <si>
    <t>2017</t>
  </si>
  <si>
    <t>565 Trans by Others</t>
  </si>
  <si>
    <t>A&amp;G</t>
  </si>
  <si>
    <t>Schedules 6, 9 and 10</t>
  </si>
  <si>
    <t xml:space="preserve">     Accumulated Deferred Income Taxes</t>
  </si>
  <si>
    <t>12 Months Ended 2/28/2015</t>
  </si>
  <si>
    <t>12 Months Ended 2/28/2017</t>
  </si>
  <si>
    <t>12 Months Ended 2/29/2016</t>
  </si>
  <si>
    <t>Property Tax Expense Annualization</t>
  </si>
  <si>
    <t>Non-firm Sales</t>
  </si>
  <si>
    <t>PDAF/EAF</t>
  </si>
  <si>
    <t xml:space="preserve">    Total AFUDC Adjustment</t>
  </si>
  <si>
    <t xml:space="preserve">     Total AFUDC Adjustment</t>
  </si>
  <si>
    <t xml:space="preserve">     Total Rate Base (excludng Cash Working Capital)</t>
  </si>
  <si>
    <t>Total Rate Base (excluding Cash Working Capital)</t>
  </si>
  <si>
    <t>Schedule 3, Column 14, Lines 1, 2, 3 &amp; 4</t>
  </si>
  <si>
    <t>Less: State Income Taxes (L4 X 5.8742%)   2/</t>
  </si>
  <si>
    <t>PAGE 3 OF 4</t>
  </si>
  <si>
    <t>(3)</t>
  </si>
  <si>
    <t>(4)</t>
  </si>
  <si>
    <t>Case No. 2017-00179</t>
  </si>
  <si>
    <t>Test Year Ended February 28, 2017</t>
  </si>
  <si>
    <r>
      <t xml:space="preserve">Ln </t>
    </r>
    <r>
      <rPr>
        <b/>
        <u/>
        <sz val="10"/>
        <rFont val="Arial"/>
        <family val="2"/>
      </rPr>
      <t>No.</t>
    </r>
  </si>
  <si>
    <t>Reference</t>
  </si>
  <si>
    <r>
      <rPr>
        <b/>
        <sz val="10"/>
        <rFont val="Arial"/>
        <family val="2"/>
      </rPr>
      <t>Cumulative Percentage</t>
    </r>
    <r>
      <rPr>
        <b/>
        <u/>
        <sz val="10"/>
        <rFont val="Arial"/>
        <family val="2"/>
      </rPr>
      <t xml:space="preserve"> Increase</t>
    </r>
  </si>
  <si>
    <t xml:space="preserve">Proposed Increase to Revenue Requirement  </t>
  </si>
  <si>
    <t>Section V, Schedule 1, Cell I47</t>
  </si>
  <si>
    <t>KEDS + HEAP</t>
  </si>
  <si>
    <t>Section II, Exhibit J</t>
  </si>
  <si>
    <t>Environmental Surcharge Revenues</t>
  </si>
  <si>
    <t>Total Increase  (Ln 2 + Ln 3 + Ln 4)</t>
  </si>
  <si>
    <t>TEST YEAR ENDED FEBRUARY 28, 2017</t>
  </si>
  <si>
    <t>REVENUE REQUIREMENT</t>
  </si>
  <si>
    <t>COMPUTATION OF THE GROSS REVENUE</t>
  </si>
  <si>
    <t>CONVERSION FACTOR</t>
  </si>
  <si>
    <t>TEST YEAR ENDED FEBRUARY 28,2017</t>
  </si>
  <si>
    <t>COMPUTATION OF FACTOR TO BE APPLIED TO ADDITIONAL</t>
  </si>
  <si>
    <t>DETERMINATION OF AN UNCOLLECTIBLE ACCOUNTS</t>
  </si>
  <si>
    <t>REVENUES GENERATED BY RATE INCREASE, IN</t>
  </si>
  <si>
    <t>ADJUSTMENT TO BE ADDED TO O&amp;M EXPENSE</t>
  </si>
  <si>
    <t>LONG-TERM DEBT</t>
  </si>
  <si>
    <t>SCHEDULE OF SHORT-TERM DEBT</t>
  </si>
  <si>
    <t>COAL STOCK ADJUSTMENT</t>
  </si>
  <si>
    <t>MICTHELL PLANT</t>
  </si>
  <si>
    <t>ELECTRIC OPERATION &amp; MAINTENANCE EXPENSE</t>
  </si>
  <si>
    <t>ENERGY &amp; CAPACITY CHARGES</t>
  </si>
  <si>
    <t>(1a)</t>
  </si>
  <si>
    <t>Test Year Retail Sales Revenues per Income Statement</t>
  </si>
  <si>
    <t>(1b)</t>
  </si>
  <si>
    <t>Less: Capacity Charge Over/Under removed in Adj 1</t>
  </si>
  <si>
    <t>Test Year Retail Sales Revenues</t>
  </si>
  <si>
    <t>Section V, Schedule 4, Cell C7</t>
  </si>
  <si>
    <t>Net Electric Operating Income   (Line 4 - Line 12)</t>
  </si>
  <si>
    <t>Test Year Net Electric Operating Income (Per Sch 4, Col 6, Ln 35)</t>
  </si>
  <si>
    <t>BSRR Expenses</t>
  </si>
  <si>
    <t>BSRR &amp; BS1OR Expenses</t>
  </si>
  <si>
    <t xml:space="preserve"> BS1OR Expenses</t>
  </si>
  <si>
    <t>DSM, Econ Dev &amp; HEAP Expenses</t>
  </si>
  <si>
    <t>DSM Expense</t>
  </si>
  <si>
    <t>Line of Credit Fees</t>
  </si>
  <si>
    <t>Sch 4, Line 175</t>
  </si>
  <si>
    <t>Sch 4, Line 287</t>
  </si>
  <si>
    <t>9/12/2017</t>
  </si>
  <si>
    <t>9/12/2024</t>
  </si>
  <si>
    <t>9/12/2027</t>
  </si>
  <si>
    <t>9/12/2029</t>
  </si>
  <si>
    <t>9/12/2047</t>
  </si>
  <si>
    <t>Remove Non-Recoverable Business Expenses</t>
  </si>
  <si>
    <t>updated for new rate, staff and AG brought it up, KPSC2-11</t>
  </si>
  <si>
    <t xml:space="preserve">Annualization Depreciation/Amortization Expense </t>
  </si>
  <si>
    <t>Update Big Sandy Unit 1 Depreciation Rates to 20 yr life+ remove net salavage for BS1 &amp; ML</t>
  </si>
  <si>
    <t>Pre Tax</t>
  </si>
  <si>
    <t>No FIT</t>
  </si>
  <si>
    <r>
      <t xml:space="preserve">Weather Normalization </t>
    </r>
    <r>
      <rPr>
        <b/>
        <sz val="7.2"/>
        <rFont val="Arial"/>
        <family val="2"/>
      </rPr>
      <t>+ reduction to var o&amp;m exp and Comm adj</t>
    </r>
  </si>
  <si>
    <r>
      <t xml:space="preserve">Amortization                                                              Storm Cost                                                                           Deferral </t>
    </r>
    <r>
      <rPr>
        <b/>
        <sz val="7.2"/>
        <rFont val="Arial"/>
        <family val="2"/>
      </rPr>
      <t>+ recalibrate strm damage amort</t>
    </r>
  </si>
  <si>
    <r>
      <t xml:space="preserve">Peaking Unit Equivalent </t>
    </r>
    <r>
      <rPr>
        <b/>
        <sz val="7.2"/>
        <rFont val="Arial"/>
        <family val="2"/>
      </rPr>
      <t>also added RP Deferral in</t>
    </r>
  </si>
  <si>
    <r>
      <t xml:space="preserve">Total Incentive Compensation &amp; Payroll Adjustments </t>
    </r>
    <r>
      <rPr>
        <b/>
        <sz val="7.2"/>
        <rFont val="Arial"/>
        <family val="2"/>
      </rPr>
      <t>+ reduction to ICP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</si>
</sst>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#,##0.0000_);\(#,##0.0000\)"/>
    <numFmt numFmtId="168" formatCode="#,##0.000000"/>
    <numFmt numFmtId="169" formatCode="#,##0.0000000"/>
    <numFmt numFmtId="170" formatCode="#,##0.00000"/>
    <numFmt numFmtId="171" formatCode="_(* #,##0.0_);_(* \(#,##0.0\);&quot;&quot;;_(@_)"/>
    <numFmt numFmtId="172" formatCode="[Blue]#,##0,_);[Red]\(#,##0,\)"/>
    <numFmt numFmtId="173" formatCode="#,##0.000_);\(#,##0.000\)"/>
    <numFmt numFmtId="174" formatCode="#,##0.000"/>
    <numFmt numFmtId="175" formatCode="&quot;$&quot;#,##0"/>
    <numFmt numFmtId="176" formatCode="0.0000%"/>
    <numFmt numFmtId="177" formatCode="0.000000%"/>
    <numFmt numFmtId="178" formatCode="0_);\(0\)"/>
    <numFmt numFmtId="179" formatCode="mm/dd/yy"/>
    <numFmt numFmtId="180" formatCode="0.000"/>
    <numFmt numFmtId="181" formatCode="_(* #,##0.000_);_(* \(#,##0.000\);_(* &quot;-&quot;??_);_(@_)"/>
    <numFmt numFmtId="182" formatCode="0.0"/>
    <numFmt numFmtId="183" formatCode="_(&quot;$&quot;* #,##0_);_(&quot;$&quot;* \(#,##0\);_(&quot;$&quot;* &quot;-&quot;??_);_(@_)"/>
    <numFmt numFmtId="184" formatCode="#,##0.00000_);\(#,##0.00000\)"/>
    <numFmt numFmtId="185" formatCode="_(* #,##0.0_);_(* \(#,##0.0\);_(* &quot;-&quot;??_);_(@_)"/>
    <numFmt numFmtId="186" formatCode="_(&quot;$&quot;* #,##0.0_);_(&quot;$&quot;* \(#,##0.0\);_(&quot;$&quot;* &quot;-&quot;??_);_(@_)"/>
    <numFmt numFmtId="187" formatCode="#,##0.00000000_);\(#,##0.00000000\)"/>
    <numFmt numFmtId="188" formatCode="0.00000000_);\(0.00000000\)"/>
    <numFmt numFmtId="189" formatCode="_(* #,##0.00000_);_(* \(#,##0.00000\);_(* &quot;-&quot;??_);_(@_)"/>
  </numFmts>
  <fonts count="10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Arial MT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7.2"/>
      <name val="Arial"/>
      <family val="2"/>
    </font>
    <font>
      <i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69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6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6" fillId="15" borderId="0" applyNumberFormat="0" applyBorder="0" applyAlignment="0" applyProtection="0"/>
    <xf numFmtId="0" fontId="25" fillId="15" borderId="0" applyNumberFormat="0" applyBorder="0" applyAlignment="0" applyProtection="0"/>
    <xf numFmtId="0" fontId="24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2" borderId="0" applyNumberFormat="0" applyBorder="0" applyAlignment="0" applyProtection="0"/>
    <xf numFmtId="0" fontId="27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7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4" borderId="0" applyNumberFormat="0" applyBorder="0" applyAlignment="0" applyProtection="0"/>
    <xf numFmtId="0" fontId="31" fillId="4" borderId="0" applyNumberFormat="0" applyBorder="0" applyAlignment="0" applyProtection="0"/>
    <xf numFmtId="0" fontId="30" fillId="4" borderId="0" applyNumberFormat="0" applyBorder="0" applyAlignment="0" applyProtection="0"/>
    <xf numFmtId="0" fontId="33" fillId="2" borderId="6" applyNumberFormat="0" applyAlignment="0" applyProtection="0"/>
    <xf numFmtId="0" fontId="34" fillId="2" borderId="6" applyNumberFormat="0" applyAlignment="0" applyProtection="0"/>
    <xf numFmtId="0" fontId="34" fillId="2" borderId="6" applyNumberFormat="0" applyAlignment="0" applyProtection="0"/>
    <xf numFmtId="0" fontId="34" fillId="2" borderId="6" applyNumberFormat="0" applyAlignment="0" applyProtection="0"/>
    <xf numFmtId="0" fontId="35" fillId="2" borderId="6" applyNumberFormat="0" applyAlignment="0" applyProtection="0"/>
    <xf numFmtId="0" fontId="36" fillId="10" borderId="7" applyNumberFormat="0" applyAlignment="0" applyProtection="0"/>
    <xf numFmtId="0" fontId="37" fillId="10" borderId="7" applyNumberFormat="0" applyAlignment="0" applyProtection="0"/>
    <xf numFmtId="0" fontId="37" fillId="10" borderId="7" applyNumberFormat="0" applyAlignment="0" applyProtection="0"/>
    <xf numFmtId="0" fontId="37" fillId="10" borderId="7" applyNumberFormat="0" applyAlignment="0" applyProtection="0"/>
    <xf numFmtId="0" fontId="38" fillId="26" borderId="7" applyNumberFormat="0" applyAlignment="0" applyProtection="0"/>
    <xf numFmtId="0" fontId="37" fillId="26" borderId="7" applyNumberFormat="0" applyAlignment="0" applyProtection="0"/>
    <xf numFmtId="0" fontId="36" fillId="26" borderId="7" applyNumberFormat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0" fontId="4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4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40" fillId="0" borderId="0" applyFont="0" applyFill="0" applyBorder="0" applyAlignment="0" applyProtection="0"/>
    <xf numFmtId="8" fontId="40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6" fillId="6" borderId="0" applyNumberFormat="0" applyBorder="0" applyAlignment="0" applyProtection="0"/>
    <xf numFmtId="0" fontId="47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8" fillId="0" borderId="8" applyNumberFormat="0" applyFill="0" applyAlignment="0" applyProtection="0"/>
    <xf numFmtId="0" fontId="49" fillId="0" borderId="9" applyNumberFormat="0" applyFill="0" applyAlignment="0" applyProtection="0"/>
    <xf numFmtId="0" fontId="50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4" fillId="0" borderId="11" applyNumberFormat="0" applyFill="0" applyAlignment="0" applyProtection="0"/>
    <xf numFmtId="0" fontId="55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60" fillId="0" borderId="13" applyNumberFormat="0" applyFill="0" applyAlignment="0" applyProtection="0"/>
    <xf numFmtId="0" fontId="61" fillId="0" borderId="13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9" borderId="6" applyNumberFormat="0" applyAlignment="0" applyProtection="0"/>
    <xf numFmtId="0" fontId="63" fillId="9" borderId="6" applyNumberFormat="0" applyAlignment="0" applyProtection="0"/>
    <xf numFmtId="0" fontId="63" fillId="9" borderId="6" applyNumberFormat="0" applyAlignment="0" applyProtection="0"/>
    <xf numFmtId="0" fontId="63" fillId="9" borderId="6" applyNumberFormat="0" applyAlignment="0" applyProtection="0"/>
    <xf numFmtId="0" fontId="64" fillId="9" borderId="6" applyNumberFormat="0" applyAlignment="0" applyProtection="0"/>
    <xf numFmtId="41" fontId="65" fillId="0" borderId="0">
      <alignment horizontal="left"/>
    </xf>
    <xf numFmtId="0" fontId="66" fillId="0" borderId="14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68" fillId="0" borderId="14" applyNumberFormat="0" applyFill="0" applyAlignment="0" applyProtection="0"/>
    <xf numFmtId="0" fontId="69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1" fillId="13" borderId="0" applyNumberFormat="0" applyBorder="0" applyAlignment="0" applyProtection="0"/>
    <xf numFmtId="0" fontId="72" fillId="0" borderId="0"/>
    <xf numFmtId="0" fontId="20" fillId="0" borderId="0"/>
    <xf numFmtId="37" fontId="23" fillId="0" borderId="0"/>
    <xf numFmtId="0" fontId="23" fillId="0" borderId="0"/>
    <xf numFmtId="0" fontId="40" fillId="0" borderId="0"/>
    <xf numFmtId="0" fontId="17" fillId="0" borderId="0"/>
    <xf numFmtId="38" fontId="18" fillId="0" borderId="0"/>
    <xf numFmtId="38" fontId="18" fillId="0" borderId="0"/>
    <xf numFmtId="38" fontId="18" fillId="0" borderId="0"/>
    <xf numFmtId="38" fontId="1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38" fontId="18" fillId="0" borderId="0"/>
    <xf numFmtId="38" fontId="18" fillId="0" borderId="0"/>
    <xf numFmtId="38" fontId="18" fillId="0" borderId="0"/>
    <xf numFmtId="38" fontId="18" fillId="0" borderId="0"/>
    <xf numFmtId="38" fontId="18" fillId="0" borderId="0"/>
    <xf numFmtId="38" fontId="18" fillId="0" borderId="0"/>
    <xf numFmtId="38" fontId="18" fillId="0" borderId="0"/>
    <xf numFmtId="38" fontId="18" fillId="0" borderId="0"/>
    <xf numFmtId="38" fontId="18" fillId="0" borderId="0"/>
    <xf numFmtId="38" fontId="18" fillId="0" borderId="0"/>
    <xf numFmtId="0" fontId="20" fillId="0" borderId="0"/>
    <xf numFmtId="0" fontId="73" fillId="0" borderId="0"/>
    <xf numFmtId="0" fontId="73" fillId="0" borderId="0"/>
    <xf numFmtId="0" fontId="20" fillId="0" borderId="0"/>
    <xf numFmtId="0" fontId="73" fillId="0" borderId="0"/>
    <xf numFmtId="38" fontId="18" fillId="0" borderId="0"/>
    <xf numFmtId="38" fontId="18" fillId="0" borderId="0"/>
    <xf numFmtId="38" fontId="18" fillId="0" borderId="0"/>
    <xf numFmtId="38" fontId="18" fillId="0" borderId="0"/>
    <xf numFmtId="38" fontId="18" fillId="0" borderId="0"/>
    <xf numFmtId="0" fontId="17" fillId="0" borderId="0"/>
    <xf numFmtId="0" fontId="20" fillId="0" borderId="0"/>
    <xf numFmtId="0" fontId="18" fillId="0" borderId="0"/>
    <xf numFmtId="0" fontId="18" fillId="0" borderId="0"/>
    <xf numFmtId="0" fontId="72" fillId="0" borderId="0"/>
    <xf numFmtId="0" fontId="72" fillId="0" borderId="0"/>
    <xf numFmtId="0" fontId="72" fillId="0" borderId="0"/>
    <xf numFmtId="0" fontId="18" fillId="5" borderId="15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0" fontId="18" fillId="5" borderId="6" applyNumberFormat="0" applyFont="0" applyAlignment="0" applyProtection="0"/>
    <xf numFmtId="43" fontId="63" fillId="0" borderId="0"/>
    <xf numFmtId="172" fontId="74" fillId="0" borderId="0"/>
    <xf numFmtId="0" fontId="75" fillId="2" borderId="16" applyNumberFormat="0" applyAlignment="0" applyProtection="0"/>
    <xf numFmtId="0" fontId="76" fillId="2" borderId="16" applyNumberFormat="0" applyAlignment="0" applyProtection="0"/>
    <xf numFmtId="0" fontId="76" fillId="2" borderId="16" applyNumberFormat="0" applyAlignment="0" applyProtection="0"/>
    <xf numFmtId="0" fontId="76" fillId="2" borderId="16" applyNumberFormat="0" applyAlignment="0" applyProtection="0"/>
    <xf numFmtId="0" fontId="77" fillId="2" borderId="16" applyNumberFormat="0" applyAlignment="0" applyProtection="0"/>
    <xf numFmtId="9" fontId="4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0" fontId="40" fillId="0" borderId="0" applyNumberFormat="0" applyFont="0" applyFill="0" applyBorder="0" applyAlignment="0" applyProtection="0">
      <alignment horizontal="left"/>
    </xf>
    <xf numFmtId="0" fontId="40" fillId="0" borderId="0" applyNumberFormat="0" applyFont="0" applyFill="0" applyBorder="0" applyAlignment="0" applyProtection="0">
      <alignment horizontal="left"/>
    </xf>
    <xf numFmtId="0" fontId="40" fillId="0" borderId="0" applyNumberFormat="0" applyFont="0" applyFill="0" applyBorder="0" applyAlignment="0" applyProtection="0">
      <alignment horizontal="left"/>
    </xf>
    <xf numFmtId="0" fontId="40" fillId="0" borderId="0" applyNumberFormat="0" applyFont="0" applyFill="0" applyBorder="0" applyAlignment="0" applyProtection="0">
      <alignment horizontal="left"/>
    </xf>
    <xf numFmtId="0" fontId="40" fillId="0" borderId="0" applyNumberFormat="0" applyFont="0" applyFill="0" applyBorder="0" applyAlignment="0" applyProtection="0">
      <alignment horizontal="left"/>
    </xf>
    <xf numFmtId="0" fontId="40" fillId="0" borderId="0" applyNumberFormat="0" applyFont="0" applyFill="0" applyBorder="0" applyAlignment="0" applyProtection="0">
      <alignment horizontal="left"/>
    </xf>
    <xf numFmtId="0" fontId="40" fillId="0" borderId="0" applyNumberFormat="0" applyFont="0" applyFill="0" applyBorder="0" applyAlignment="0" applyProtection="0">
      <alignment horizontal="left"/>
    </xf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15" fontId="40" fillId="0" borderId="0" applyFont="0" applyFill="0" applyBorder="0" applyAlignment="0" applyProtection="0"/>
    <xf numFmtId="15" fontId="40" fillId="0" borderId="0" applyFont="0" applyFill="0" applyBorder="0" applyAlignment="0" applyProtection="0"/>
    <xf numFmtId="15" fontId="40" fillId="0" borderId="0" applyFont="0" applyFill="0" applyBorder="0" applyAlignment="0" applyProtection="0"/>
    <xf numFmtId="15" fontId="40" fillId="0" borderId="0" applyFont="0" applyFill="0" applyBorder="0" applyAlignment="0" applyProtection="0"/>
    <xf numFmtId="15" fontId="40" fillId="0" borderId="0" applyFont="0" applyFill="0" applyBorder="0" applyAlignment="0" applyProtection="0"/>
    <xf numFmtId="15" fontId="40" fillId="0" borderId="0" applyFont="0" applyFill="0" applyBorder="0" applyAlignment="0" applyProtection="0"/>
    <xf numFmtId="15" fontId="40" fillId="0" borderId="0" applyFont="0" applyFill="0" applyBorder="0" applyAlignment="0" applyProtection="0"/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0" fontId="78" fillId="0" borderId="17">
      <alignment horizontal="center"/>
    </xf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0" fillId="27" borderId="0" applyNumberFormat="0" applyFont="0" applyBorder="0" applyAlignment="0" applyProtection="0"/>
    <xf numFmtId="0" fontId="40" fillId="27" borderId="0" applyNumberFormat="0" applyFont="0" applyBorder="0" applyAlignment="0" applyProtection="0"/>
    <xf numFmtId="0" fontId="40" fillId="27" borderId="0" applyNumberFormat="0" applyFont="0" applyBorder="0" applyAlignment="0" applyProtection="0"/>
    <xf numFmtId="0" fontId="40" fillId="27" borderId="0" applyNumberFormat="0" applyFont="0" applyBorder="0" applyAlignment="0" applyProtection="0"/>
    <xf numFmtId="0" fontId="40" fillId="27" borderId="0" applyNumberFormat="0" applyFont="0" applyBorder="0" applyAlignment="0" applyProtection="0"/>
    <xf numFmtId="0" fontId="40" fillId="27" borderId="0" applyNumberFormat="0" applyFont="0" applyBorder="0" applyAlignment="0" applyProtection="0"/>
    <xf numFmtId="0" fontId="40" fillId="27" borderId="0" applyNumberFormat="0" applyFont="0" applyBorder="0" applyAlignment="0" applyProtection="0"/>
    <xf numFmtId="0" fontId="40" fillId="27" borderId="0" applyNumberFormat="0" applyFont="0" applyBorder="0" applyAlignment="0" applyProtection="0"/>
    <xf numFmtId="0" fontId="40" fillId="27" borderId="0" applyNumberFormat="0" applyFont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18" applyNumberFormat="0" applyFill="0" applyAlignment="0" applyProtection="0"/>
    <xf numFmtId="0" fontId="82" fillId="0" borderId="18" applyNumberFormat="0" applyFill="0" applyAlignment="0" applyProtection="0"/>
    <xf numFmtId="0" fontId="82" fillId="0" borderId="18" applyNumberFormat="0" applyFill="0" applyAlignment="0" applyProtection="0"/>
    <xf numFmtId="0" fontId="82" fillId="0" borderId="18" applyNumberFormat="0" applyFill="0" applyAlignment="0" applyProtection="0"/>
    <xf numFmtId="0" fontId="83" fillId="0" borderId="19" applyNumberFormat="0" applyFill="0" applyAlignment="0" applyProtection="0"/>
    <xf numFmtId="0" fontId="82" fillId="0" borderId="19" applyNumberFormat="0" applyFill="0" applyAlignment="0" applyProtection="0"/>
    <xf numFmtId="0" fontId="81" fillId="0" borderId="19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40" fillId="0" borderId="0"/>
    <xf numFmtId="44" fontId="4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16" fillId="0" borderId="0"/>
    <xf numFmtId="44" fontId="8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4" fillId="0" borderId="0" applyFont="0" applyFill="0" applyBorder="0" applyAlignment="0" applyProtection="0"/>
    <xf numFmtId="0" fontId="14" fillId="0" borderId="0"/>
    <xf numFmtId="43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0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9" fillId="0" borderId="0"/>
    <xf numFmtId="0" fontId="20" fillId="0" borderId="0"/>
    <xf numFmtId="0" fontId="9" fillId="0" borderId="0"/>
    <xf numFmtId="0" fontId="20" fillId="0" borderId="0"/>
    <xf numFmtId="0" fontId="18" fillId="0" borderId="0"/>
    <xf numFmtId="0" fontId="18" fillId="0" borderId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22" fillId="28" borderId="0"/>
    <xf numFmtId="0" fontId="18" fillId="0" borderId="0"/>
    <xf numFmtId="0" fontId="1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40">
    <xf numFmtId="0" fontId="0" fillId="0" borderId="0" xfId="0"/>
    <xf numFmtId="37" fontId="0" fillId="0" borderId="0" xfId="0" applyNumberFormat="1" applyFill="1" applyBorder="1"/>
    <xf numFmtId="0" fontId="19" fillId="0" borderId="0" xfId="0" applyFont="1" applyFill="1" applyAlignment="1">
      <alignment horizontal="left" vertical="center"/>
    </xf>
    <xf numFmtId="0" fontId="19" fillId="0" borderId="0" xfId="0" applyFont="1" applyFill="1"/>
    <xf numFmtId="0" fontId="19" fillId="0" borderId="3" xfId="0" applyFont="1" applyFill="1" applyBorder="1" applyAlignment="1">
      <alignment horizontal="left"/>
    </xf>
    <xf numFmtId="0" fontId="19" fillId="0" borderId="4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/>
    </xf>
    <xf numFmtId="164" fontId="18" fillId="0" borderId="0" xfId="1" applyNumberFormat="1" applyFont="1" applyFill="1" applyBorder="1" applyAlignment="1">
      <alignment horizontal="right"/>
    </xf>
    <xf numFmtId="37" fontId="18" fillId="0" borderId="0" xfId="0" applyNumberFormat="1" applyFont="1" applyFill="1" applyAlignment="1">
      <alignment horizontal="right"/>
    </xf>
    <xf numFmtId="165" fontId="18" fillId="0" borderId="0" xfId="2" applyNumberFormat="1" applyFont="1" applyFill="1" applyAlignment="1">
      <alignment horizontal="right"/>
    </xf>
    <xf numFmtId="164" fontId="18" fillId="0" borderId="0" xfId="1" applyNumberFormat="1" applyFont="1" applyFill="1" applyBorder="1" applyAlignment="1">
      <alignment horizontal="right" vertical="center"/>
    </xf>
    <xf numFmtId="0" fontId="19" fillId="0" borderId="0" xfId="0" applyFont="1" applyFill="1" applyBorder="1"/>
    <xf numFmtId="43" fontId="18" fillId="0" borderId="0" xfId="1" applyFont="1" applyFill="1"/>
    <xf numFmtId="0" fontId="18" fillId="0" borderId="0" xfId="0" applyFont="1" applyFill="1" applyBorder="1" applyAlignment="1">
      <alignment horizontal="left"/>
    </xf>
    <xf numFmtId="37" fontId="18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37" fontId="18" fillId="0" borderId="0" xfId="0" applyNumberFormat="1" applyFont="1" applyFill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/>
    <xf numFmtId="37" fontId="19" fillId="0" borderId="0" xfId="0" applyNumberFormat="1" applyFont="1" applyFill="1" applyBorder="1" applyAlignment="1">
      <alignment vertical="center"/>
    </xf>
    <xf numFmtId="3" fontId="18" fillId="0" borderId="0" xfId="0" applyNumberFormat="1" applyFont="1" applyFill="1" applyAlignment="1">
      <alignment horizontal="right"/>
    </xf>
    <xf numFmtId="0" fontId="18" fillId="0" borderId="0" xfId="0" applyFont="1" applyFill="1" applyBorder="1" applyAlignment="1">
      <alignment horizontal="left" vertical="center"/>
    </xf>
    <xf numFmtId="0" fontId="18" fillId="0" borderId="0" xfId="3"/>
    <xf numFmtId="0" fontId="18" fillId="0" borderId="0" xfId="3" applyFont="1"/>
    <xf numFmtId="49" fontId="18" fillId="0" borderId="0" xfId="3" applyNumberFormat="1" applyAlignment="1">
      <alignment wrapText="1"/>
    </xf>
    <xf numFmtId="37" fontId="18" fillId="0" borderId="0" xfId="3" applyNumberFormat="1" applyAlignment="1">
      <alignment horizontal="center"/>
    </xf>
    <xf numFmtId="173" fontId="18" fillId="0" borderId="0" xfId="3" applyNumberFormat="1"/>
    <xf numFmtId="49" fontId="18" fillId="0" borderId="0" xfId="3" applyNumberFormat="1"/>
    <xf numFmtId="49" fontId="19" fillId="0" borderId="0" xfId="3" applyNumberFormat="1" applyFont="1" applyAlignment="1">
      <alignment horizontal="center" wrapText="1"/>
    </xf>
    <xf numFmtId="37" fontId="19" fillId="0" borderId="0" xfId="3" applyNumberFormat="1" applyFont="1" applyAlignment="1">
      <alignment horizontal="center"/>
    </xf>
    <xf numFmtId="0" fontId="18" fillId="0" borderId="0" xfId="3" applyBorder="1" applyAlignment="1">
      <alignment horizontal="center"/>
    </xf>
    <xf numFmtId="0" fontId="18" fillId="0" borderId="0" xfId="3" applyBorder="1"/>
    <xf numFmtId="0" fontId="21" fillId="0" borderId="0" xfId="3" applyFont="1" applyAlignment="1">
      <alignment horizontal="center"/>
    </xf>
    <xf numFmtId="37" fontId="19" fillId="0" borderId="0" xfId="3" applyNumberFormat="1" applyFont="1" applyAlignment="1">
      <alignment horizontal="center" wrapText="1"/>
    </xf>
    <xf numFmtId="37" fontId="18" fillId="0" borderId="0" xfId="0" applyNumberFormat="1" applyFont="1" applyFill="1"/>
    <xf numFmtId="37" fontId="0" fillId="0" borderId="0" xfId="0" applyNumberFormat="1"/>
    <xf numFmtId="0" fontId="0" fillId="0" borderId="0" xfId="0" applyFill="1" applyBorder="1"/>
    <xf numFmtId="0" fontId="0" fillId="0" borderId="0" xfId="0" applyFill="1" applyAlignment="1">
      <alignment horizontal="left"/>
    </xf>
    <xf numFmtId="0" fontId="21" fillId="0" borderId="0" xfId="0" applyFont="1" applyFill="1" applyBorder="1"/>
    <xf numFmtId="37" fontId="18" fillId="0" borderId="0" xfId="0" applyNumberFormat="1" applyFont="1" applyFill="1" applyBorder="1" applyAlignment="1">
      <alignment horizontal="right"/>
    </xf>
    <xf numFmtId="0" fontId="91" fillId="0" borderId="0" xfId="0" applyFont="1" applyFill="1" applyBorder="1"/>
    <xf numFmtId="0" fontId="18" fillId="0" borderId="0" xfId="3"/>
    <xf numFmtId="173" fontId="0" fillId="0" borderId="0" xfId="0" applyNumberFormat="1"/>
    <xf numFmtId="37" fontId="18" fillId="0" borderId="2" xfId="0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37" fontId="18" fillId="0" borderId="2" xfId="0" applyNumberFormat="1" applyFont="1" applyFill="1" applyBorder="1" applyAlignment="1">
      <alignment horizontal="left"/>
    </xf>
    <xf numFmtId="37" fontId="19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93" fillId="0" borderId="0" xfId="0" applyFont="1" applyFill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37" fontId="19" fillId="0" borderId="3" xfId="0" applyNumberFormat="1" applyFont="1" applyFill="1" applyBorder="1" applyAlignment="1">
      <alignment horizontal="left" vertic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vertical="center"/>
    </xf>
    <xf numFmtId="165" fontId="18" fillId="0" borderId="1" xfId="2" applyNumberFormat="1" applyFont="1" applyFill="1" applyBorder="1" applyAlignment="1">
      <alignment horizontal="right" vertical="center"/>
    </xf>
    <xf numFmtId="0" fontId="19" fillId="0" borderId="3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37" fontId="19" fillId="0" borderId="0" xfId="0" applyNumberFormat="1" applyFont="1" applyFill="1" applyBorder="1"/>
    <xf numFmtId="0" fontId="19" fillId="0" borderId="5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37" fontId="18" fillId="0" borderId="1" xfId="0" applyNumberFormat="1" applyFont="1" applyFill="1" applyBorder="1" applyAlignment="1">
      <alignment horizontal="right"/>
    </xf>
    <xf numFmtId="37" fontId="18" fillId="0" borderId="0" xfId="0" applyNumberFormat="1" applyFont="1" applyFill="1" applyBorder="1"/>
    <xf numFmtId="164" fontId="18" fillId="0" borderId="0" xfId="1" applyNumberFormat="1" applyFont="1" applyFill="1" applyBorder="1"/>
    <xf numFmtId="49" fontId="18" fillId="0" borderId="0" xfId="0" applyNumberFormat="1" applyFont="1" applyFill="1" applyAlignment="1">
      <alignment horizontal="center"/>
    </xf>
    <xf numFmtId="173" fontId="0" fillId="0" borderId="0" xfId="0" applyNumberFormat="1" applyFill="1"/>
    <xf numFmtId="173" fontId="18" fillId="0" borderId="0" xfId="3" applyNumberFormat="1" applyFill="1"/>
    <xf numFmtId="180" fontId="0" fillId="0" borderId="0" xfId="0" applyNumberFormat="1"/>
    <xf numFmtId="164" fontId="0" fillId="0" borderId="0" xfId="0" applyNumberFormat="1"/>
    <xf numFmtId="0" fontId="0" fillId="0" borderId="0" xfId="0"/>
    <xf numFmtId="164" fontId="0" fillId="0" borderId="0" xfId="1" applyNumberFormat="1" applyFont="1" applyFill="1" applyBorder="1"/>
    <xf numFmtId="180" fontId="0" fillId="0" borderId="0" xfId="0" applyNumberFormat="1" applyFill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73" fontId="18" fillId="0" borderId="0" xfId="3" applyNumberFormat="1" applyFill="1" applyBorder="1"/>
    <xf numFmtId="0" fontId="18" fillId="0" borderId="0" xfId="3" applyFill="1" applyBorder="1"/>
    <xf numFmtId="49" fontId="18" fillId="0" borderId="0" xfId="3" applyNumberFormat="1" applyFill="1" applyBorder="1"/>
    <xf numFmtId="181" fontId="0" fillId="0" borderId="0" xfId="1" applyNumberFormat="1" applyFont="1"/>
    <xf numFmtId="173" fontId="0" fillId="0" borderId="0" xfId="1" applyNumberFormat="1" applyFont="1"/>
    <xf numFmtId="173" fontId="0" fillId="0" borderId="0" xfId="0" applyNumberFormat="1" applyFill="1" applyBorder="1"/>
    <xf numFmtId="173" fontId="0" fillId="0" borderId="0" xfId="1" applyNumberFormat="1" applyFont="1" applyFill="1" applyBorder="1"/>
    <xf numFmtId="3" fontId="19" fillId="0" borderId="0" xfId="0" applyNumberFormat="1" applyFont="1" applyFill="1" applyBorder="1" applyAlignment="1">
      <alignment horizontal="right"/>
    </xf>
    <xf numFmtId="174" fontId="19" fillId="0" borderId="0" xfId="0" applyNumberFormat="1" applyFont="1" applyFill="1" applyBorder="1"/>
    <xf numFmtId="37" fontId="18" fillId="0" borderId="2" xfId="0" applyNumberFormat="1" applyFont="1" applyFill="1" applyBorder="1" applyAlignment="1">
      <alignment horizontal="right" vertical="center"/>
    </xf>
    <xf numFmtId="49" fontId="18" fillId="0" borderId="0" xfId="3" applyNumberFormat="1" applyFont="1" applyFill="1" applyAlignment="1">
      <alignment horizontal="center" wrapText="1"/>
    </xf>
    <xf numFmtId="37" fontId="0" fillId="0" borderId="0" xfId="0" applyNumberFormat="1" applyFill="1"/>
    <xf numFmtId="0" fontId="18" fillId="0" borderId="0" xfId="0" applyFont="1" applyFill="1"/>
    <xf numFmtId="164" fontId="18" fillId="0" borderId="0" xfId="1" applyNumberFormat="1" applyFont="1" applyFill="1"/>
    <xf numFmtId="0" fontId="19" fillId="0" borderId="0" xfId="0" applyFont="1" applyFill="1" applyBorder="1" applyAlignment="1">
      <alignment horizontal="left" vertical="center"/>
    </xf>
    <xf numFmtId="37" fontId="19" fillId="0" borderId="3" xfId="0" applyNumberFormat="1" applyFont="1" applyFill="1" applyBorder="1" applyAlignment="1">
      <alignment horizontal="right" vertical="center"/>
    </xf>
    <xf numFmtId="37" fontId="18" fillId="0" borderId="3" xfId="0" applyNumberFormat="1" applyFont="1" applyFill="1" applyBorder="1" applyAlignment="1">
      <alignment horizontal="right" vertical="center"/>
    </xf>
    <xf numFmtId="37" fontId="22" fillId="0" borderId="0" xfId="0" applyNumberFormat="1" applyFont="1" applyFill="1"/>
    <xf numFmtId="0" fontId="0" fillId="0" borderId="0" xfId="0" applyFill="1"/>
    <xf numFmtId="176" fontId="22" fillId="0" borderId="0" xfId="0" applyNumberFormat="1" applyFont="1" applyFill="1"/>
    <xf numFmtId="181" fontId="19" fillId="0" borderId="0" xfId="1" applyNumberFormat="1" applyFont="1" applyFill="1" applyBorder="1" applyAlignment="1">
      <alignment horizontal="center" vertical="center"/>
    </xf>
    <xf numFmtId="173" fontId="19" fillId="0" borderId="0" xfId="0" applyNumberFormat="1" applyFont="1" applyFill="1" applyBorder="1" applyAlignment="1">
      <alignment horizontal="right"/>
    </xf>
    <xf numFmtId="173" fontId="19" fillId="0" borderId="0" xfId="0" applyNumberFormat="1" applyFont="1" applyFill="1" applyAlignment="1">
      <alignment horizontal="right"/>
    </xf>
    <xf numFmtId="173" fontId="19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right"/>
    </xf>
    <xf numFmtId="49" fontId="91" fillId="0" borderId="0" xfId="0" applyNumberFormat="1" applyFont="1" applyFill="1" applyAlignment="1">
      <alignment horizontal="center"/>
    </xf>
    <xf numFmtId="0" fontId="96" fillId="0" borderId="0" xfId="0" applyFont="1" applyFill="1" applyAlignment="1">
      <alignment horizontal="center"/>
    </xf>
    <xf numFmtId="49" fontId="18" fillId="0" borderId="0" xfId="0" applyNumberFormat="1" applyFont="1" applyFill="1" applyAlignment="1">
      <alignment horizontal="center" wrapText="1"/>
    </xf>
    <xf numFmtId="49" fontId="18" fillId="0" borderId="0" xfId="0" applyNumberFormat="1" applyFont="1" applyFill="1" applyAlignment="1">
      <alignment wrapText="1"/>
    </xf>
    <xf numFmtId="49" fontId="91" fillId="0" borderId="0" xfId="0" applyNumberFormat="1" applyFont="1" applyFill="1" applyAlignment="1">
      <alignment horizontal="center" wrapText="1"/>
    </xf>
    <xf numFmtId="49" fontId="19" fillId="0" borderId="0" xfId="0" applyNumberFormat="1" applyFont="1" applyFill="1" applyAlignment="1">
      <alignment horizontal="center" wrapText="1"/>
    </xf>
    <xf numFmtId="37" fontId="18" fillId="0" borderId="0" xfId="0" applyNumberFormat="1" applyFont="1" applyFill="1" applyAlignment="1">
      <alignment horizontal="center"/>
    </xf>
    <xf numFmtId="0" fontId="91" fillId="0" borderId="0" xfId="0" applyFont="1" applyFill="1"/>
    <xf numFmtId="5" fontId="18" fillId="0" borderId="0" xfId="0" applyNumberFormat="1" applyFont="1" applyFill="1"/>
    <xf numFmtId="49" fontId="18" fillId="0" borderId="0" xfId="0" applyNumberFormat="1" applyFont="1" applyFill="1" applyAlignment="1">
      <alignment horizontal="right"/>
    </xf>
    <xf numFmtId="5" fontId="19" fillId="0" borderId="0" xfId="0" applyNumberFormat="1" applyFont="1" applyFill="1"/>
    <xf numFmtId="10" fontId="18" fillId="0" borderId="0" xfId="0" applyNumberFormat="1" applyFont="1" applyFill="1"/>
    <xf numFmtId="5" fontId="18" fillId="0" borderId="0" xfId="0" applyNumberFormat="1" applyFont="1" applyFill="1" applyAlignment="1">
      <alignment horizontal="right"/>
    </xf>
    <xf numFmtId="10" fontId="19" fillId="0" borderId="0" xfId="0" applyNumberFormat="1" applyFont="1" applyFill="1"/>
    <xf numFmtId="0" fontId="18" fillId="0" borderId="0" xfId="0" applyFont="1" applyFill="1" applyAlignment="1">
      <alignment horizontal="left"/>
    </xf>
    <xf numFmtId="0" fontId="89" fillId="0" borderId="0" xfId="0" applyFont="1" applyFill="1" applyAlignment="1">
      <alignment horizontal="center"/>
    </xf>
    <xf numFmtId="0" fontId="90" fillId="0" borderId="0" xfId="0" applyFont="1" applyFill="1" applyAlignment="1">
      <alignment horizontal="left"/>
    </xf>
    <xf numFmtId="49" fontId="19" fillId="0" borderId="0" xfId="0" applyNumberFormat="1" applyFont="1" applyFill="1" applyAlignment="1"/>
    <xf numFmtId="7" fontId="0" fillId="0" borderId="0" xfId="0" applyNumberFormat="1" applyFill="1"/>
    <xf numFmtId="0" fontId="18" fillId="0" borderId="0" xfId="0" applyFont="1" applyFill="1" applyBorder="1" applyAlignment="1">
      <alignment horizontal="center" vertical="top"/>
    </xf>
    <xf numFmtId="37" fontId="18" fillId="0" borderId="0" xfId="0" applyNumberFormat="1" applyFont="1" applyFill="1" applyBorder="1" applyAlignment="1">
      <alignment horizontal="center"/>
    </xf>
    <xf numFmtId="37" fontId="18" fillId="0" borderId="0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top"/>
    </xf>
    <xf numFmtId="37" fontId="18" fillId="0" borderId="1" xfId="0" applyNumberFormat="1" applyFont="1" applyFill="1" applyBorder="1" applyAlignment="1">
      <alignment horizontal="center" vertical="top"/>
    </xf>
    <xf numFmtId="37" fontId="18" fillId="0" borderId="0" xfId="0" applyNumberFormat="1" applyFont="1" applyFill="1" applyBorder="1" applyAlignment="1">
      <alignment horizontal="center" vertical="top" wrapText="1"/>
    </xf>
    <xf numFmtId="164" fontId="18" fillId="0" borderId="0" xfId="1" quotePrefix="1" applyNumberFormat="1" applyFont="1" applyFill="1" applyAlignment="1">
      <alignment horizontal="center"/>
    </xf>
    <xf numFmtId="164" fontId="18" fillId="0" borderId="0" xfId="1" quotePrefix="1" applyNumberFormat="1" applyFont="1" applyFill="1" applyBorder="1" applyAlignment="1">
      <alignment horizontal="center"/>
    </xf>
    <xf numFmtId="37" fontId="18" fillId="0" borderId="0" xfId="1" quotePrefix="1" applyNumberFormat="1" applyFont="1" applyFill="1" applyBorder="1" applyAlignment="1">
      <alignment horizontal="center"/>
    </xf>
    <xf numFmtId="165" fontId="18" fillId="0" borderId="0" xfId="2" applyNumberFormat="1" applyFont="1" applyFill="1" applyBorder="1"/>
    <xf numFmtId="3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vertical="center"/>
    </xf>
    <xf numFmtId="165" fontId="18" fillId="0" borderId="0" xfId="2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173" fontId="18" fillId="0" borderId="0" xfId="0" applyNumberFormat="1" applyFont="1" applyFill="1" applyBorder="1" applyAlignment="1">
      <alignment horizontal="right" vertical="center"/>
    </xf>
    <xf numFmtId="37" fontId="97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/>
    </xf>
    <xf numFmtId="37" fontId="18" fillId="0" borderId="3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textRotation="180"/>
    </xf>
    <xf numFmtId="37" fontId="18" fillId="0" borderId="4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textRotation="180"/>
    </xf>
    <xf numFmtId="166" fontId="18" fillId="0" borderId="0" xfId="0" applyNumberFormat="1" applyFont="1" applyFill="1" applyBorder="1" applyAlignment="1">
      <alignment horizontal="right" vertical="center"/>
    </xf>
    <xf numFmtId="10" fontId="18" fillId="0" borderId="0" xfId="0" applyNumberFormat="1" applyFont="1" applyFill="1" applyBorder="1" applyAlignment="1">
      <alignment horizontal="right" vertical="center"/>
    </xf>
    <xf numFmtId="10" fontId="18" fillId="0" borderId="0" xfId="2" applyNumberFormat="1" applyFont="1" applyFill="1" applyBorder="1" applyAlignment="1">
      <alignment horizontal="right" vertical="center"/>
    </xf>
    <xf numFmtId="10" fontId="18" fillId="0" borderId="0" xfId="0" applyNumberFormat="1" applyFont="1" applyFill="1" applyAlignment="1">
      <alignment horizontal="right" vertical="center"/>
    </xf>
    <xf numFmtId="43" fontId="18" fillId="0" borderId="0" xfId="1" applyFont="1" applyFill="1" applyAlignment="1">
      <alignment horizontal="center" vertical="center"/>
    </xf>
    <xf numFmtId="37" fontId="18" fillId="0" borderId="0" xfId="0" applyNumberFormat="1" applyFont="1" applyFill="1" applyAlignment="1">
      <alignment vertical="center"/>
    </xf>
    <xf numFmtId="0" fontId="18" fillId="0" borderId="2" xfId="0" applyFont="1" applyFill="1" applyBorder="1" applyAlignment="1">
      <alignment horizontal="left"/>
    </xf>
    <xf numFmtId="3" fontId="18" fillId="0" borderId="2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37" fontId="18" fillId="0" borderId="2" xfId="0" applyNumberFormat="1" applyFont="1" applyFill="1" applyBorder="1" applyAlignment="1">
      <alignment horizontal="left" vertical="center"/>
    </xf>
    <xf numFmtId="167" fontId="18" fillId="0" borderId="0" xfId="0" applyNumberFormat="1" applyFont="1" applyFill="1" applyAlignment="1">
      <alignment horizontal="right"/>
    </xf>
    <xf numFmtId="37" fontId="18" fillId="0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left" vertical="center"/>
    </xf>
    <xf numFmtId="3" fontId="18" fillId="0" borderId="3" xfId="0" applyNumberFormat="1" applyFont="1" applyFill="1" applyBorder="1" applyAlignment="1">
      <alignment horizontal="right" vertical="center"/>
    </xf>
    <xf numFmtId="3" fontId="18" fillId="0" borderId="3" xfId="0" applyNumberFormat="1" applyFont="1" applyFill="1" applyBorder="1" applyAlignment="1">
      <alignment horizontal="left" vertical="center"/>
    </xf>
    <xf numFmtId="37" fontId="18" fillId="0" borderId="0" xfId="0" applyNumberFormat="1" applyFont="1" applyFill="1" applyBorder="1" applyAlignment="1">
      <alignment horizontal="left" vertical="center"/>
    </xf>
    <xf numFmtId="43" fontId="18" fillId="0" borderId="0" xfId="0" applyNumberFormat="1" applyFont="1" applyFill="1" applyBorder="1" applyAlignment="1">
      <alignment horizontal="left"/>
    </xf>
    <xf numFmtId="39" fontId="18" fillId="0" borderId="4" xfId="0" applyNumberFormat="1" applyFont="1" applyFill="1" applyBorder="1" applyAlignment="1">
      <alignment horizontal="right" vertical="center"/>
    </xf>
    <xf numFmtId="3" fontId="18" fillId="0" borderId="4" xfId="0" applyNumberFormat="1" applyFont="1" applyFill="1" applyBorder="1" applyAlignment="1">
      <alignment horizontal="left" vertical="center"/>
    </xf>
    <xf numFmtId="3" fontId="18" fillId="0" borderId="2" xfId="0" applyNumberFormat="1" applyFont="1" applyFill="1" applyBorder="1" applyAlignment="1">
      <alignment horizontal="left"/>
    </xf>
    <xf numFmtId="164" fontId="18" fillId="0" borderId="0" xfId="5" applyNumberFormat="1" applyFont="1" applyFill="1"/>
    <xf numFmtId="3" fontId="18" fillId="0" borderId="2" xfId="0" applyNumberFormat="1" applyFont="1" applyFill="1" applyBorder="1" applyAlignment="1">
      <alignment vertical="center"/>
    </xf>
    <xf numFmtId="3" fontId="18" fillId="0" borderId="2" xfId="0" applyNumberFormat="1" applyFont="1" applyFill="1" applyBorder="1" applyAlignment="1">
      <alignment horizontal="right" vertical="center"/>
    </xf>
    <xf numFmtId="164" fontId="18" fillId="0" borderId="0" xfId="1" applyNumberFormat="1" applyFont="1" applyFill="1" applyBorder="1" applyAlignment="1">
      <alignment vertical="center"/>
    </xf>
    <xf numFmtId="37" fontId="18" fillId="0" borderId="0" xfId="0" applyNumberFormat="1" applyFont="1" applyFill="1" applyBorder="1" applyAlignment="1">
      <alignment vertical="center"/>
    </xf>
    <xf numFmtId="37" fontId="18" fillId="0" borderId="1" xfId="0" applyNumberFormat="1" applyFont="1" applyFill="1" applyBorder="1" applyAlignment="1">
      <alignment vertical="center"/>
    </xf>
    <xf numFmtId="7" fontId="18" fillId="0" borderId="0" xfId="457" applyNumberFormat="1" applyFont="1" applyFill="1" applyBorder="1"/>
    <xf numFmtId="37" fontId="18" fillId="0" borderId="2" xfId="1" applyNumberFormat="1" applyFont="1" applyFill="1" applyBorder="1" applyAlignment="1">
      <alignment horizontal="right" vertical="center"/>
    </xf>
    <xf numFmtId="164" fontId="18" fillId="0" borderId="2" xfId="1" applyNumberFormat="1" applyFont="1" applyFill="1" applyBorder="1" applyAlignment="1">
      <alignment horizontal="left" vertical="center"/>
    </xf>
    <xf numFmtId="37" fontId="18" fillId="0" borderId="0" xfId="1" applyNumberFormat="1" applyFont="1" applyFill="1" applyBorder="1" applyAlignment="1">
      <alignment vertical="center"/>
    </xf>
    <xf numFmtId="164" fontId="18" fillId="0" borderId="0" xfId="1" applyNumberFormat="1" applyFont="1" applyFill="1" applyBorder="1" applyAlignment="1">
      <alignment horizontal="left" vertical="center"/>
    </xf>
    <xf numFmtId="165" fontId="18" fillId="0" borderId="0" xfId="2" applyNumberFormat="1" applyFont="1" applyFill="1" applyBorder="1" applyAlignment="1">
      <alignment vertical="center"/>
    </xf>
    <xf numFmtId="37" fontId="18" fillId="0" borderId="0" xfId="1" applyNumberFormat="1" applyFont="1" applyFill="1" applyBorder="1" applyAlignment="1">
      <alignment horizontal="right" vertical="center"/>
    </xf>
    <xf numFmtId="37" fontId="18" fillId="0" borderId="0" xfId="1" applyNumberFormat="1" applyFont="1" applyFill="1" applyAlignment="1">
      <alignment horizontal="right" vertical="center"/>
    </xf>
    <xf numFmtId="164" fontId="18" fillId="0" borderId="1" xfId="1" applyNumberFormat="1" applyFont="1" applyFill="1" applyBorder="1" applyAlignment="1">
      <alignment vertical="center"/>
    </xf>
    <xf numFmtId="37" fontId="18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left" vertical="center"/>
    </xf>
    <xf numFmtId="164" fontId="18" fillId="0" borderId="5" xfId="1" applyNumberFormat="1" applyFont="1" applyFill="1" applyBorder="1" applyAlignment="1">
      <alignment vertical="center"/>
    </xf>
    <xf numFmtId="37" fontId="18" fillId="0" borderId="5" xfId="0" applyNumberFormat="1" applyFont="1" applyFill="1" applyBorder="1" applyAlignment="1">
      <alignment horizontal="right"/>
    </xf>
    <xf numFmtId="37" fontId="18" fillId="0" borderId="5" xfId="1" applyNumberFormat="1" applyFont="1" applyFill="1" applyBorder="1" applyAlignment="1">
      <alignment horizontal="right" vertical="center"/>
    </xf>
    <xf numFmtId="164" fontId="18" fillId="0" borderId="5" xfId="1" applyNumberFormat="1" applyFont="1" applyFill="1" applyBorder="1" applyAlignment="1">
      <alignment horizontal="left" vertical="center"/>
    </xf>
    <xf numFmtId="164" fontId="18" fillId="0" borderId="3" xfId="1" applyNumberFormat="1" applyFont="1" applyFill="1" applyBorder="1" applyAlignment="1">
      <alignment vertical="center"/>
    </xf>
    <xf numFmtId="37" fontId="18" fillId="0" borderId="3" xfId="1" applyNumberFormat="1" applyFont="1" applyFill="1" applyBorder="1" applyAlignment="1">
      <alignment horizontal="right" vertical="center"/>
    </xf>
    <xf numFmtId="164" fontId="18" fillId="0" borderId="3" xfId="1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3" fontId="18" fillId="0" borderId="0" xfId="0" applyNumberFormat="1" applyFont="1" applyFill="1" applyBorder="1"/>
    <xf numFmtId="3" fontId="18" fillId="0" borderId="0" xfId="0" applyNumberFormat="1" applyFont="1" applyFill="1" applyBorder="1" applyAlignment="1">
      <alignment horizontal="left"/>
    </xf>
    <xf numFmtId="175" fontId="18" fillId="0" borderId="0" xfId="457" applyNumberFormat="1" applyFont="1" applyFill="1" applyBorder="1"/>
    <xf numFmtId="4" fontId="18" fillId="0" borderId="0" xfId="0" applyNumberFormat="1" applyFont="1" applyFill="1" applyBorder="1" applyAlignment="1">
      <alignment horizontal="left"/>
    </xf>
    <xf numFmtId="43" fontId="18" fillId="0" borderId="0" xfId="1" applyFont="1" applyFill="1" applyBorder="1"/>
    <xf numFmtId="4" fontId="18" fillId="0" borderId="0" xfId="0" applyNumberFormat="1" applyFont="1" applyFill="1" applyBorder="1"/>
    <xf numFmtId="168" fontId="18" fillId="0" borderId="0" xfId="0" applyNumberFormat="1" applyFont="1" applyFill="1" applyBorder="1"/>
    <xf numFmtId="169" fontId="18" fillId="0" borderId="0" xfId="0" applyNumberFormat="1" applyFont="1" applyFill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Alignment="1">
      <alignment horizontal="right" vertical="center"/>
    </xf>
    <xf numFmtId="4" fontId="18" fillId="0" borderId="0" xfId="0" applyNumberFormat="1" applyFont="1" applyFill="1"/>
    <xf numFmtId="168" fontId="18" fillId="0" borderId="0" xfId="0" applyNumberFormat="1" applyFont="1" applyFill="1"/>
    <xf numFmtId="170" fontId="18" fillId="0" borderId="0" xfId="0" applyNumberFormat="1" applyFont="1" applyFill="1"/>
    <xf numFmtId="4" fontId="18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left"/>
    </xf>
    <xf numFmtId="0" fontId="18" fillId="0" borderId="0" xfId="3" applyFont="1" applyFill="1"/>
    <xf numFmtId="0" fontId="18" fillId="0" borderId="0" xfId="3" applyFont="1" applyFill="1" applyBorder="1"/>
    <xf numFmtId="49" fontId="18" fillId="0" borderId="0" xfId="3" applyNumberFormat="1" applyFont="1" applyFill="1" applyBorder="1" applyAlignment="1">
      <alignment horizontal="left" wrapText="1"/>
    </xf>
    <xf numFmtId="49" fontId="18" fillId="0" borderId="0" xfId="3" applyNumberFormat="1" applyFont="1" applyFill="1" applyBorder="1" applyAlignment="1">
      <alignment wrapText="1"/>
    </xf>
    <xf numFmtId="37" fontId="18" fillId="0" borderId="0" xfId="3" applyNumberFormat="1" applyFont="1" applyFill="1"/>
    <xf numFmtId="37" fontId="18" fillId="0" borderId="0" xfId="3" applyNumberFormat="1" applyFont="1" applyFill="1" applyBorder="1"/>
    <xf numFmtId="0" fontId="19" fillId="0" borderId="0" xfId="0" applyFont="1" applyFill="1" applyAlignment="1">
      <alignment horizontal="center"/>
    </xf>
    <xf numFmtId="37" fontId="18" fillId="0" borderId="1" xfId="0" applyNumberFormat="1" applyFont="1" applyFill="1" applyBorder="1"/>
    <xf numFmtId="39" fontId="18" fillId="0" borderId="3" xfId="0" applyNumberFormat="1" applyFont="1" applyFill="1" applyBorder="1" applyAlignment="1">
      <alignment horizontal="right" vertical="center"/>
    </xf>
    <xf numFmtId="37" fontId="18" fillId="0" borderId="2" xfId="0" applyNumberFormat="1" applyFont="1" applyFill="1" applyBorder="1" applyAlignment="1">
      <alignment vertical="center"/>
    </xf>
    <xf numFmtId="37" fontId="18" fillId="0" borderId="5" xfId="0" applyNumberFormat="1" applyFont="1" applyFill="1" applyBorder="1"/>
    <xf numFmtId="37" fontId="18" fillId="0" borderId="4" xfId="0" applyNumberFormat="1" applyFont="1" applyFill="1" applyBorder="1" applyAlignment="1">
      <alignment horizontal="right"/>
    </xf>
    <xf numFmtId="37" fontId="18" fillId="0" borderId="0" xfId="1" applyNumberFormat="1" applyFont="1" applyFill="1"/>
    <xf numFmtId="10" fontId="18" fillId="0" borderId="0" xfId="3" applyNumberFormat="1" applyFont="1" applyFill="1" applyAlignment="1">
      <alignment horizontal="right"/>
    </xf>
    <xf numFmtId="49" fontId="18" fillId="0" borderId="0" xfId="3" applyNumberFormat="1" applyFont="1" applyFill="1" applyBorder="1" applyAlignment="1">
      <alignment horizontal="center" wrapText="1"/>
    </xf>
    <xf numFmtId="43" fontId="18" fillId="0" borderId="0" xfId="0" applyNumberFormat="1" applyFont="1" applyFill="1"/>
    <xf numFmtId="164" fontId="18" fillId="0" borderId="1" xfId="1" applyNumberFormat="1" applyFont="1" applyFill="1" applyBorder="1"/>
    <xf numFmtId="0" fontId="91" fillId="0" borderId="0" xfId="0" applyFont="1" applyFill="1" applyAlignment="1">
      <alignment horizontal="left"/>
    </xf>
    <xf numFmtId="0" fontId="18" fillId="0" borderId="0" xfId="3" applyFont="1" applyFill="1" applyAlignment="1">
      <alignment horizontal="left"/>
    </xf>
    <xf numFmtId="43" fontId="18" fillId="0" borderId="0" xfId="0" applyNumberFormat="1" applyFont="1" applyFill="1" applyBorder="1"/>
    <xf numFmtId="0" fontId="19" fillId="0" borderId="0" xfId="3" applyFont="1" applyFill="1" applyAlignment="1">
      <alignment horizontal="center"/>
    </xf>
    <xf numFmtId="37" fontId="18" fillId="0" borderId="0" xfId="1" applyNumberFormat="1" applyFont="1" applyFill="1" applyAlignment="1">
      <alignment horizontal="right"/>
    </xf>
    <xf numFmtId="37" fontId="18" fillId="0" borderId="0" xfId="1" applyNumberFormat="1" applyFont="1" applyFill="1" applyBorder="1" applyAlignment="1">
      <alignment horizontal="right"/>
    </xf>
    <xf numFmtId="37" fontId="18" fillId="0" borderId="1" xfId="1" applyNumberFormat="1" applyFont="1" applyFill="1" applyBorder="1" applyAlignment="1">
      <alignment horizontal="right"/>
    </xf>
    <xf numFmtId="164" fontId="18" fillId="0" borderId="0" xfId="0" applyNumberFormat="1" applyFont="1" applyFill="1"/>
    <xf numFmtId="164" fontId="92" fillId="0" borderId="0" xfId="1" applyNumberFormat="1" applyFont="1" applyFill="1"/>
    <xf numFmtId="164" fontId="18" fillId="0" borderId="0" xfId="0" applyNumberFormat="1" applyFont="1" applyFill="1" applyBorder="1"/>
    <xf numFmtId="173" fontId="18" fillId="0" borderId="0" xfId="0" applyNumberFormat="1" applyFont="1" applyFill="1"/>
    <xf numFmtId="0" fontId="9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37" fontId="18" fillId="0" borderId="0" xfId="0" applyNumberFormat="1" applyFont="1" applyFill="1" applyAlignment="1">
      <alignment horizontal="left"/>
    </xf>
    <xf numFmtId="37" fontId="18" fillId="0" borderId="0" xfId="0" applyNumberFormat="1" applyFont="1" applyFill="1" applyAlignment="1">
      <alignment horizontal="right" wrapText="1"/>
    </xf>
    <xf numFmtId="10" fontId="18" fillId="0" borderId="0" xfId="0" applyNumberFormat="1" applyFont="1" applyFill="1" applyAlignment="1">
      <alignment horizontal="right" wrapText="1"/>
    </xf>
    <xf numFmtId="0" fontId="18" fillId="0" borderId="0" xfId="0" applyNumberFormat="1" applyFont="1" applyFill="1" applyAlignment="1">
      <alignment horizontal="center" wrapText="1"/>
    </xf>
    <xf numFmtId="37" fontId="91" fillId="0" borderId="0" xfId="0" applyNumberFormat="1" applyFont="1" applyFill="1" applyAlignment="1">
      <alignment horizontal="left"/>
    </xf>
    <xf numFmtId="0" fontId="18" fillId="0" borderId="0" xfId="0" applyFont="1" applyFill="1" applyAlignment="1"/>
    <xf numFmtId="0" fontId="18" fillId="0" borderId="0" xfId="0" applyFont="1" applyFill="1" applyAlignment="1">
      <alignment textRotation="180" wrapText="1"/>
    </xf>
    <xf numFmtId="173" fontId="19" fillId="0" borderId="0" xfId="0" applyNumberFormat="1" applyFont="1" applyFill="1"/>
    <xf numFmtId="0" fontId="97" fillId="0" borderId="0" xfId="0" applyFont="1" applyFill="1" applyBorder="1" applyAlignment="1">
      <alignment horizontal="center"/>
    </xf>
    <xf numFmtId="164" fontId="18" fillId="0" borderId="1" xfId="0" applyNumberFormat="1" applyFont="1" applyFill="1" applyBorder="1"/>
    <xf numFmtId="181" fontId="19" fillId="0" borderId="0" xfId="1" applyNumberFormat="1" applyFont="1" applyFill="1" applyBorder="1"/>
    <xf numFmtId="43" fontId="18" fillId="0" borderId="0" xfId="1" applyFont="1" applyFill="1" applyBorder="1" applyAlignment="1">
      <alignment horizontal="right"/>
    </xf>
    <xf numFmtId="49" fontId="18" fillId="0" borderId="0" xfId="0" applyNumberFormat="1" applyFont="1" applyFill="1"/>
    <xf numFmtId="183" fontId="18" fillId="0" borderId="0" xfId="457" applyNumberFormat="1" applyFont="1" applyFill="1" applyAlignment="1">
      <alignment horizontal="right"/>
    </xf>
    <xf numFmtId="39" fontId="18" fillId="0" borderId="0" xfId="0" applyNumberFormat="1" applyFont="1" applyFill="1"/>
    <xf numFmtId="184" fontId="18" fillId="0" borderId="0" xfId="0" applyNumberFormat="1" applyFont="1" applyFill="1"/>
    <xf numFmtId="167" fontId="18" fillId="0" borderId="0" xfId="0" applyNumberFormat="1" applyFont="1" applyFill="1"/>
    <xf numFmtId="5" fontId="18" fillId="0" borderId="0" xfId="0" applyNumberFormat="1" applyFont="1" applyFill="1" applyAlignment="1">
      <alignment horizontal="center"/>
    </xf>
    <xf numFmtId="178" fontId="18" fillId="0" borderId="0" xfId="0" applyNumberFormat="1" applyFont="1" applyFill="1" applyAlignment="1">
      <alignment horizontal="center"/>
    </xf>
    <xf numFmtId="178" fontId="18" fillId="0" borderId="0" xfId="0" applyNumberFormat="1" applyFont="1" applyFill="1"/>
    <xf numFmtId="183" fontId="18" fillId="0" borderId="0" xfId="457" applyNumberFormat="1" applyFont="1" applyFill="1"/>
    <xf numFmtId="0" fontId="18" fillId="0" borderId="0" xfId="3" applyFill="1"/>
    <xf numFmtId="49" fontId="18" fillId="0" borderId="0" xfId="3" applyNumberFormat="1" applyFill="1" applyAlignment="1">
      <alignment wrapText="1"/>
    </xf>
    <xf numFmtId="49" fontId="18" fillId="0" borderId="0" xfId="3" applyNumberFormat="1" applyFill="1"/>
    <xf numFmtId="164" fontId="18" fillId="0" borderId="0" xfId="0" applyNumberFormat="1" applyFont="1" applyFill="1" applyBorder="1" applyAlignment="1">
      <alignment horizontal="center"/>
    </xf>
    <xf numFmtId="10" fontId="18" fillId="0" borderId="0" xfId="2" applyNumberFormat="1" applyFont="1" applyFill="1" applyBorder="1" applyAlignment="1">
      <alignment horizontal="right"/>
    </xf>
    <xf numFmtId="164" fontId="18" fillId="0" borderId="0" xfId="1" applyNumberFormat="1" applyFont="1" applyFill="1" applyAlignment="1">
      <alignment horizontal="right"/>
    </xf>
    <xf numFmtId="10" fontId="96" fillId="0" borderId="0" xfId="3" applyNumberFormat="1" applyFont="1" applyFill="1" applyAlignment="1">
      <alignment horizontal="right"/>
    </xf>
    <xf numFmtId="37" fontId="18" fillId="0" borderId="0" xfId="0" applyNumberFormat="1" applyFont="1" applyFill="1" applyBorder="1" applyAlignment="1">
      <alignment horizontal="left"/>
    </xf>
    <xf numFmtId="37" fontId="18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10" fontId="18" fillId="0" borderId="0" xfId="0" applyNumberFormat="1" applyFont="1" applyFill="1" applyAlignment="1">
      <alignment horizontal="center"/>
    </xf>
    <xf numFmtId="43" fontId="18" fillId="0" borderId="0" xfId="1" applyFont="1" applyFill="1" applyAlignment="1">
      <alignment horizontal="center"/>
    </xf>
    <xf numFmtId="7" fontId="18" fillId="0" borderId="0" xfId="0" applyNumberFormat="1" applyFont="1" applyFill="1"/>
    <xf numFmtId="49" fontId="18" fillId="0" borderId="0" xfId="0" applyNumberFormat="1" applyFont="1" applyFill="1" applyAlignment="1">
      <alignment horizontal="center"/>
    </xf>
    <xf numFmtId="37" fontId="18" fillId="0" borderId="0" xfId="0" applyNumberFormat="1" applyFont="1" applyFill="1" applyAlignment="1">
      <alignment horizontal="center" wrapText="1"/>
    </xf>
    <xf numFmtId="10" fontId="18" fillId="0" borderId="0" xfId="0" applyNumberFormat="1" applyFont="1" applyFill="1" applyAlignment="1">
      <alignment horizontal="right"/>
    </xf>
    <xf numFmtId="176" fontId="18" fillId="0" borderId="0" xfId="0" applyNumberFormat="1" applyFont="1" applyFill="1"/>
    <xf numFmtId="177" fontId="18" fillId="0" borderId="0" xfId="2" applyNumberFormat="1" applyFont="1" applyFill="1"/>
    <xf numFmtId="177" fontId="18" fillId="0" borderId="0" xfId="0" applyNumberFormat="1" applyFont="1" applyFill="1"/>
    <xf numFmtId="176" fontId="18" fillId="0" borderId="0" xfId="0" applyNumberFormat="1" applyFont="1" applyFill="1" applyAlignment="1">
      <alignment horizontal="right"/>
    </xf>
    <xf numFmtId="44" fontId="18" fillId="0" borderId="0" xfId="0" applyNumberFormat="1" applyFont="1" applyFill="1"/>
    <xf numFmtId="180" fontId="18" fillId="0" borderId="0" xfId="0" applyNumberFormat="1" applyFont="1" applyFill="1"/>
    <xf numFmtId="49" fontId="19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0" fontId="91" fillId="0" borderId="0" xfId="0" applyFont="1" applyFill="1" applyBorder="1" applyAlignment="1">
      <alignment horizontal="center"/>
    </xf>
    <xf numFmtId="178" fontId="0" fillId="0" borderId="0" xfId="0" applyNumberFormat="1" applyFill="1" applyAlignment="1">
      <alignment horizontal="center"/>
    </xf>
    <xf numFmtId="178" fontId="0" fillId="0" borderId="0" xfId="0" applyNumberFormat="1" applyFill="1" applyBorder="1" applyAlignment="1">
      <alignment horizontal="center"/>
    </xf>
    <xf numFmtId="49" fontId="21" fillId="0" borderId="0" xfId="0" applyNumberFormat="1" applyFont="1" applyFill="1" applyAlignment="1">
      <alignment wrapText="1"/>
    </xf>
    <xf numFmtId="166" fontId="0" fillId="0" borderId="0" xfId="0" applyNumberFormat="1" applyFill="1"/>
    <xf numFmtId="179" fontId="0" fillId="0" borderId="0" xfId="1" applyNumberFormat="1" applyFont="1" applyFill="1" applyAlignment="1">
      <alignment horizontal="center"/>
    </xf>
    <xf numFmtId="39" fontId="0" fillId="0" borderId="0" xfId="1" applyNumberFormat="1" applyFont="1" applyFill="1" applyAlignment="1">
      <alignment horizontal="center"/>
    </xf>
    <xf numFmtId="5" fontId="0" fillId="0" borderId="0" xfId="0" applyNumberFormat="1" applyFill="1"/>
    <xf numFmtId="5" fontId="0" fillId="0" borderId="0" xfId="0" applyNumberFormat="1" applyFill="1" applyBorder="1"/>
    <xf numFmtId="10" fontId="0" fillId="0" borderId="0" xfId="0" applyNumberFormat="1" applyFill="1"/>
    <xf numFmtId="49" fontId="0" fillId="0" borderId="0" xfId="1" applyNumberFormat="1" applyFont="1" applyFill="1" applyAlignment="1">
      <alignment horizontal="center"/>
    </xf>
    <xf numFmtId="2" fontId="0" fillId="0" borderId="0" xfId="0" applyNumberFormat="1" applyFill="1"/>
    <xf numFmtId="5" fontId="18" fillId="0" borderId="0" xfId="0" applyNumberFormat="1" applyFont="1" applyFill="1" applyBorder="1"/>
    <xf numFmtId="49" fontId="0" fillId="0" borderId="0" xfId="0" applyNumberFormat="1" applyFill="1"/>
    <xf numFmtId="39" fontId="0" fillId="0" borderId="0" xfId="0" applyNumberFormat="1" applyFill="1" applyAlignment="1">
      <alignment horizontal="center"/>
    </xf>
    <xf numFmtId="0" fontId="0" fillId="0" borderId="1" xfId="0" applyFill="1" applyBorder="1"/>
    <xf numFmtId="5" fontId="0" fillId="0" borderId="5" xfId="0" applyNumberFormat="1" applyFill="1" applyBorder="1"/>
    <xf numFmtId="10" fontId="0" fillId="0" borderId="0" xfId="0" applyNumberFormat="1" applyFill="1" applyBorder="1"/>
    <xf numFmtId="0" fontId="21" fillId="0" borderId="0" xfId="0" applyFont="1" applyFill="1"/>
    <xf numFmtId="166" fontId="0" fillId="0" borderId="0" xfId="2" applyNumberFormat="1" applyFont="1" applyFill="1"/>
    <xf numFmtId="14" fontId="0" fillId="0" borderId="0" xfId="0" applyNumberFormat="1" applyFill="1"/>
    <xf numFmtId="182" fontId="0" fillId="0" borderId="0" xfId="0" applyNumberFormat="1" applyFill="1" applyAlignment="1">
      <alignment horizontal="center"/>
    </xf>
    <xf numFmtId="164" fontId="0" fillId="0" borderId="0" xfId="1" applyNumberFormat="1" applyFont="1" applyFill="1"/>
    <xf numFmtId="164" fontId="0" fillId="0" borderId="0" xfId="0" applyNumberFormat="1" applyFill="1"/>
    <xf numFmtId="164" fontId="0" fillId="0" borderId="5" xfId="0" applyNumberFormat="1" applyFill="1" applyBorder="1"/>
    <xf numFmtId="0" fontId="21" fillId="0" borderId="0" xfId="3" applyFont="1" applyFill="1"/>
    <xf numFmtId="0" fontId="18" fillId="0" borderId="0" xfId="3" applyFill="1" applyAlignment="1">
      <alignment horizontal="center"/>
    </xf>
    <xf numFmtId="166" fontId="18" fillId="0" borderId="0" xfId="352" applyNumberFormat="1" applyFont="1" applyFill="1"/>
    <xf numFmtId="14" fontId="18" fillId="0" borderId="0" xfId="3" applyNumberFormat="1" applyFill="1"/>
    <xf numFmtId="164" fontId="18" fillId="0" borderId="0" xfId="184" applyNumberFormat="1" applyFont="1" applyFill="1"/>
    <xf numFmtId="164" fontId="18" fillId="0" borderId="0" xfId="3" applyNumberFormat="1" applyFill="1"/>
    <xf numFmtId="2" fontId="18" fillId="0" borderId="0" xfId="3" applyNumberFormat="1" applyFill="1"/>
    <xf numFmtId="5" fontId="18" fillId="0" borderId="0" xfId="3" applyNumberFormat="1" applyFont="1" applyFill="1" applyBorder="1"/>
    <xf numFmtId="164" fontId="18" fillId="0" borderId="5" xfId="3" applyNumberFormat="1" applyFill="1" applyBorder="1"/>
    <xf numFmtId="5" fontId="18" fillId="0" borderId="5" xfId="3" applyNumberFormat="1" applyFill="1" applyBorder="1"/>
    <xf numFmtId="164" fontId="0" fillId="0" borderId="4" xfId="0" applyNumberFormat="1" applyFill="1" applyBorder="1"/>
    <xf numFmtId="176" fontId="0" fillId="0" borderId="4" xfId="0" applyNumberFormat="1" applyFill="1" applyBorder="1"/>
    <xf numFmtId="0" fontId="95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 wrapText="1"/>
    </xf>
    <xf numFmtId="49" fontId="0" fillId="0" borderId="0" xfId="0" applyNumberFormat="1" applyFill="1" applyAlignment="1">
      <alignment wrapText="1"/>
    </xf>
    <xf numFmtId="37" fontId="0" fillId="0" borderId="0" xfId="0" applyNumberFormat="1" applyFill="1" applyAlignment="1">
      <alignment horizontal="center" wrapText="1"/>
    </xf>
    <xf numFmtId="37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right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 applyAlignment="1">
      <alignment horizontal="left" wrapText="1"/>
    </xf>
    <xf numFmtId="37" fontId="0" fillId="0" borderId="0" xfId="0" applyNumberFormat="1" applyFill="1" applyAlignment="1">
      <alignment horizontal="right" wrapText="1"/>
    </xf>
    <xf numFmtId="7" fontId="0" fillId="0" borderId="0" xfId="0" applyNumberFormat="1" applyFill="1" applyAlignment="1">
      <alignment horizontal="right" wrapText="1"/>
    </xf>
    <xf numFmtId="5" fontId="0" fillId="0" borderId="0" xfId="0" applyNumberFormat="1" applyFill="1" applyAlignment="1">
      <alignment wrapText="1"/>
    </xf>
    <xf numFmtId="37" fontId="0" fillId="0" borderId="0" xfId="0" applyNumberFormat="1" applyFill="1" applyAlignment="1">
      <alignment wrapText="1"/>
    </xf>
    <xf numFmtId="7" fontId="0" fillId="0" borderId="0" xfId="0" applyNumberFormat="1" applyFill="1" applyAlignment="1">
      <alignment horizontal="right"/>
    </xf>
    <xf numFmtId="5" fontId="0" fillId="0" borderId="0" xfId="0" applyNumberFormat="1" applyFill="1" applyAlignment="1">
      <alignment horizontal="right"/>
    </xf>
    <xf numFmtId="37" fontId="0" fillId="0" borderId="0" xfId="0" applyNumberFormat="1" applyFill="1" applyAlignment="1">
      <alignment horizontal="right"/>
    </xf>
    <xf numFmtId="49" fontId="18" fillId="0" borderId="0" xfId="0" applyNumberFormat="1" applyFont="1" applyFill="1" applyAlignment="1">
      <alignment horizontal="left"/>
    </xf>
    <xf numFmtId="173" fontId="0" fillId="0" borderId="0" xfId="0" applyNumberFormat="1" applyFill="1" applyAlignment="1">
      <alignment wrapText="1"/>
    </xf>
    <xf numFmtId="173" fontId="0" fillId="0" borderId="0" xfId="0" applyNumberFormat="1" applyFill="1" applyAlignment="1">
      <alignment horizontal="right"/>
    </xf>
    <xf numFmtId="39" fontId="0" fillId="0" borderId="0" xfId="0" applyNumberFormat="1" applyFill="1" applyAlignment="1">
      <alignment horizontal="right"/>
    </xf>
    <xf numFmtId="10" fontId="0" fillId="0" borderId="0" xfId="0" applyNumberFormat="1" applyFill="1" applyAlignment="1">
      <alignment wrapText="1"/>
    </xf>
    <xf numFmtId="37" fontId="18" fillId="0" borderId="0" xfId="1" applyNumberFormat="1" applyFont="1" applyFill="1" applyAlignment="1">
      <alignment vertical="center"/>
    </xf>
    <xf numFmtId="176" fontId="19" fillId="0" borderId="0" xfId="3" applyNumberFormat="1" applyFont="1" applyFill="1" applyAlignment="1">
      <alignment horizontal="right"/>
    </xf>
    <xf numFmtId="10" fontId="19" fillId="0" borderId="0" xfId="3" applyNumberFormat="1" applyFont="1" applyFill="1" applyAlignment="1">
      <alignment horizontal="right"/>
    </xf>
    <xf numFmtId="37" fontId="18" fillId="0" borderId="1" xfId="3" applyNumberFormat="1" applyFont="1" applyFill="1" applyBorder="1"/>
    <xf numFmtId="164" fontId="92" fillId="0" borderId="0" xfId="1" applyNumberFormat="1" applyFont="1" applyFill="1" applyBorder="1"/>
    <xf numFmtId="0" fontId="91" fillId="0" borderId="0" xfId="3" applyFont="1" applyFill="1" applyAlignment="1">
      <alignment horizontal="center"/>
    </xf>
    <xf numFmtId="49" fontId="91" fillId="0" borderId="0" xfId="3" applyNumberFormat="1" applyFont="1" applyFill="1" applyAlignment="1">
      <alignment horizontal="center" wrapText="1"/>
    </xf>
    <xf numFmtId="5" fontId="18" fillId="0" borderId="0" xfId="3" applyNumberFormat="1" applyFont="1" applyFill="1"/>
    <xf numFmtId="5" fontId="18" fillId="0" borderId="1" xfId="0" applyNumberFormat="1" applyFont="1" applyFill="1" applyBorder="1"/>
    <xf numFmtId="37" fontId="18" fillId="0" borderId="0" xfId="3" applyNumberFormat="1" applyFill="1"/>
    <xf numFmtId="49" fontId="18" fillId="0" borderId="0" xfId="3" applyNumberFormat="1" applyFont="1" applyFill="1" applyAlignment="1">
      <alignment wrapText="1"/>
    </xf>
    <xf numFmtId="49" fontId="18" fillId="0" borderId="0" xfId="3" applyNumberFormat="1" applyFont="1" applyFill="1"/>
    <xf numFmtId="37" fontId="18" fillId="0" borderId="1" xfId="3" applyNumberFormat="1" applyFill="1" applyBorder="1"/>
    <xf numFmtId="0" fontId="18" fillId="0" borderId="0" xfId="3" applyFont="1" applyFill="1" applyAlignment="1">
      <alignment horizontal="right"/>
    </xf>
    <xf numFmtId="49" fontId="87" fillId="0" borderId="0" xfId="3" applyNumberFormat="1" applyFont="1" applyFill="1" applyAlignment="1">
      <alignment horizontal="center"/>
    </xf>
    <xf numFmtId="17" fontId="18" fillId="0" borderId="0" xfId="0" applyNumberFormat="1" applyFont="1" applyFill="1"/>
    <xf numFmtId="43" fontId="18" fillId="0" borderId="0" xfId="1" applyFont="1" applyFill="1" applyAlignment="1">
      <alignment horizontal="right"/>
    </xf>
    <xf numFmtId="0" fontId="18" fillId="0" borderId="0" xfId="0" applyNumberFormat="1" applyFont="1" applyFill="1" applyAlignment="1">
      <alignment horizontal="center"/>
    </xf>
    <xf numFmtId="49" fontId="18" fillId="0" borderId="0" xfId="0" applyNumberFormat="1" applyFont="1" applyFill="1" applyAlignment="1">
      <alignment horizontal="center"/>
    </xf>
    <xf numFmtId="49" fontId="19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49" fontId="19" fillId="0" borderId="0" xfId="0" applyNumberFormat="1" applyFont="1" applyFill="1"/>
    <xf numFmtId="49" fontId="96" fillId="0" borderId="0" xfId="0" applyNumberFormat="1" applyFont="1" applyFill="1"/>
    <xf numFmtId="166" fontId="19" fillId="0" borderId="0" xfId="0" applyNumberFormat="1" applyFont="1" applyFill="1"/>
    <xf numFmtId="166" fontId="18" fillId="0" borderId="0" xfId="0" applyNumberFormat="1" applyFont="1" applyFill="1"/>
    <xf numFmtId="166" fontId="19" fillId="0" borderId="0" xfId="0" applyNumberFormat="1" applyFont="1" applyFill="1" applyAlignment="1">
      <alignment horizontal="center" wrapText="1"/>
    </xf>
    <xf numFmtId="49" fontId="18" fillId="0" borderId="0" xfId="0" applyNumberFormat="1" applyFont="1" applyFill="1" applyAlignment="1">
      <alignment horizontal="left" wrapText="1"/>
    </xf>
    <xf numFmtId="0" fontId="19" fillId="0" borderId="1" xfId="0" applyFont="1" applyFill="1" applyBorder="1" applyAlignment="1">
      <alignment horizontal="center"/>
    </xf>
    <xf numFmtId="49" fontId="99" fillId="0" borderId="0" xfId="0" applyNumberFormat="1" applyFont="1" applyFill="1" applyAlignment="1">
      <alignment horizontal="center" vertical="center" wrapText="1"/>
    </xf>
    <xf numFmtId="49" fontId="99" fillId="0" borderId="0" xfId="3" applyNumberFormat="1" applyFont="1" applyFill="1" applyAlignment="1">
      <alignment horizontal="center" vertical="center" wrapText="1"/>
    </xf>
    <xf numFmtId="49" fontId="18" fillId="0" borderId="0" xfId="0" applyNumberFormat="1" applyFont="1" applyFill="1" applyAlignment="1">
      <alignment horizontal="center"/>
    </xf>
    <xf numFmtId="49" fontId="18" fillId="0" borderId="0" xfId="0" applyNumberFormat="1" applyFont="1" applyFill="1" applyAlignment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178" fontId="19" fillId="0" borderId="0" xfId="0" quotePrefix="1" applyNumberFormat="1" applyFont="1" applyFill="1" applyAlignment="1">
      <alignment horizontal="center"/>
    </xf>
    <xf numFmtId="183" fontId="19" fillId="0" borderId="0" xfId="214" applyNumberFormat="1" applyFont="1" applyFill="1" applyBorder="1"/>
    <xf numFmtId="183" fontId="19" fillId="0" borderId="0" xfId="214" applyNumberFormat="1" applyFont="1" applyFill="1"/>
    <xf numFmtId="183" fontId="19" fillId="0" borderId="1" xfId="214" applyNumberFormat="1" applyFont="1" applyFill="1" applyBorder="1"/>
    <xf numFmtId="178" fontId="19" fillId="0" borderId="0" xfId="0" applyNumberFormat="1" applyFont="1" applyFill="1" applyAlignment="1">
      <alignment horizontal="center"/>
    </xf>
    <xf numFmtId="10" fontId="19" fillId="0" borderId="0" xfId="2" applyNumberFormat="1" applyFont="1" applyFill="1" applyAlignment="1">
      <alignment horizontal="center"/>
    </xf>
    <xf numFmtId="10" fontId="0" fillId="0" borderId="0" xfId="2" applyNumberFormat="1" applyFont="1" applyFill="1"/>
    <xf numFmtId="185" fontId="0" fillId="0" borderId="0" xfId="1" applyNumberFormat="1" applyFont="1" applyFill="1" applyBorder="1"/>
    <xf numFmtId="43" fontId="0" fillId="0" borderId="0" xfId="0" applyNumberFormat="1" applyFill="1"/>
    <xf numFmtId="186" fontId="0" fillId="0" borderId="0" xfId="214" applyNumberFormat="1" applyFont="1" applyFill="1"/>
    <xf numFmtId="185" fontId="0" fillId="0" borderId="0" xfId="1" applyNumberFormat="1" applyFont="1" applyFill="1"/>
    <xf numFmtId="183" fontId="19" fillId="0" borderId="3" xfId="214" applyNumberFormat="1" applyFont="1" applyFill="1" applyBorder="1"/>
    <xf numFmtId="10" fontId="18" fillId="0" borderId="0" xfId="2" applyNumberFormat="1" applyFont="1" applyFill="1"/>
    <xf numFmtId="186" fontId="0" fillId="0" borderId="0" xfId="214" applyNumberFormat="1" applyFont="1" applyFill="1" applyBorder="1"/>
    <xf numFmtId="7" fontId="0" fillId="0" borderId="0" xfId="0" applyNumberFormat="1" applyFill="1" applyBorder="1"/>
    <xf numFmtId="10" fontId="0" fillId="0" borderId="0" xfId="2" applyNumberFormat="1" applyFont="1" applyFill="1" applyBorder="1"/>
    <xf numFmtId="187" fontId="18" fillId="0" borderId="0" xfId="0" applyNumberFormat="1" applyFont="1" applyFill="1"/>
    <xf numFmtId="5" fontId="18" fillId="0" borderId="0" xfId="1" applyNumberFormat="1" applyFont="1" applyFill="1"/>
    <xf numFmtId="44" fontId="18" fillId="0" borderId="0" xfId="457" applyFont="1" applyFill="1"/>
    <xf numFmtId="183" fontId="98" fillId="0" borderId="0" xfId="0" applyNumberFormat="1" applyFont="1" applyFill="1"/>
    <xf numFmtId="0" fontId="0" fillId="0" borderId="0" xfId="0" applyFill="1" applyAlignment="1">
      <alignment horizontal="center"/>
    </xf>
    <xf numFmtId="188" fontId="19" fillId="0" borderId="0" xfId="0" applyNumberFormat="1" applyFont="1" applyFill="1"/>
    <xf numFmtId="183" fontId="0" fillId="0" borderId="0" xfId="214" applyNumberFormat="1" applyFont="1" applyFill="1" applyBorder="1"/>
    <xf numFmtId="49" fontId="18" fillId="0" borderId="0" xfId="0" applyNumberFormat="1" applyFont="1" applyFill="1" applyAlignment="1">
      <alignment horizontal="center"/>
    </xf>
    <xf numFmtId="176" fontId="100" fillId="30" borderId="0" xfId="0" applyNumberFormat="1" applyFont="1" applyFill="1"/>
    <xf numFmtId="189" fontId="18" fillId="0" borderId="0" xfId="1" applyNumberFormat="1" applyFont="1" applyFill="1"/>
    <xf numFmtId="10" fontId="100" fillId="30" borderId="0" xfId="0" applyNumberFormat="1" applyFont="1" applyFill="1"/>
    <xf numFmtId="37" fontId="100" fillId="30" borderId="0" xfId="0" applyNumberFormat="1" applyFont="1" applyFill="1"/>
    <xf numFmtId="10" fontId="100" fillId="30" borderId="0" xfId="0" applyNumberFormat="1" applyFont="1" applyFill="1" applyAlignment="1">
      <alignment horizontal="center"/>
    </xf>
    <xf numFmtId="10" fontId="19" fillId="0" borderId="0" xfId="2" applyNumberFormat="1" applyFont="1" applyFill="1"/>
    <xf numFmtId="183" fontId="18" fillId="0" borderId="0" xfId="2" applyNumberFormat="1" applyFont="1" applyFill="1"/>
    <xf numFmtId="0" fontId="18" fillId="0" borderId="0" xfId="0" quotePrefix="1" applyFont="1" applyFill="1"/>
    <xf numFmtId="10" fontId="98" fillId="29" borderId="0" xfId="0" applyNumberFormat="1" applyFont="1" applyFill="1" applyAlignment="1">
      <alignment horizontal="center"/>
    </xf>
    <xf numFmtId="177" fontId="19" fillId="0" borderId="0" xfId="0" applyNumberFormat="1" applyFont="1" applyFill="1"/>
    <xf numFmtId="0" fontId="18" fillId="0" borderId="0" xfId="0" applyFont="1" applyFill="1" applyAlignment="1">
      <alignment horizontal="center"/>
    </xf>
    <xf numFmtId="9" fontId="18" fillId="0" borderId="0" xfId="2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49" fontId="18" fillId="0" borderId="0" xfId="0" applyNumberFormat="1" applyFont="1" applyFill="1" applyAlignment="1">
      <alignment horizontal="center"/>
    </xf>
    <xf numFmtId="49" fontId="18" fillId="0" borderId="0" xfId="0" applyNumberFormat="1" applyFont="1" applyFill="1" applyAlignment="1"/>
    <xf numFmtId="0" fontId="94" fillId="0" borderId="0" xfId="0" applyFont="1" applyFill="1" applyAlignment="1">
      <alignment horizontal="right" vertical="center" textRotation="180" wrapText="1"/>
    </xf>
    <xf numFmtId="0" fontId="18" fillId="0" borderId="0" xfId="0" applyFont="1" applyFill="1" applyAlignment="1">
      <alignment horizontal="center" textRotation="180" wrapText="1"/>
    </xf>
    <xf numFmtId="49" fontId="19" fillId="0" borderId="0" xfId="0" applyNumberFormat="1" applyFont="1" applyFill="1" applyAlignment="1">
      <alignment horizont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0" fontId="18" fillId="0" borderId="0" xfId="0" applyFont="1" applyFill="1" applyAlignment="1">
      <alignment horizontal="center" vertical="top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3" applyFont="1" applyFill="1" applyAlignment="1">
      <alignment horizontal="center"/>
    </xf>
    <xf numFmtId="49" fontId="18" fillId="0" borderId="0" xfId="3" applyNumberFormat="1" applyFont="1" applyFill="1" applyAlignment="1">
      <alignment horizontal="center"/>
    </xf>
    <xf numFmtId="0" fontId="18" fillId="0" borderId="0" xfId="0" applyFont="1" applyFill="1" applyAlignment="1">
      <alignment horizontal="center" wrapText="1"/>
    </xf>
    <xf numFmtId="0" fontId="0" fillId="0" borderId="0" xfId="0"/>
    <xf numFmtId="0" fontId="19" fillId="0" borderId="0" xfId="3" applyFont="1" applyAlignment="1">
      <alignment horizontal="center"/>
    </xf>
    <xf numFmtId="0" fontId="0" fillId="0" borderId="0" xfId="0" applyAlignment="1">
      <alignment horizontal="center"/>
    </xf>
    <xf numFmtId="49" fontId="87" fillId="0" borderId="0" xfId="3" applyNumberFormat="1" applyFont="1" applyAlignment="1">
      <alignment horizontal="center"/>
    </xf>
    <xf numFmtId="49" fontId="18" fillId="0" borderId="0" xfId="0" applyNumberFormat="1" applyFont="1" applyFill="1" applyAlignment="1">
      <alignment horizontal="left" wrapText="1"/>
    </xf>
    <xf numFmtId="0" fontId="18" fillId="0" borderId="0" xfId="0" quotePrefix="1" applyFont="1" applyFill="1" applyAlignment="1">
      <alignment horizontal="center"/>
    </xf>
    <xf numFmtId="37" fontId="19" fillId="0" borderId="0" xfId="0" applyNumberFormat="1" applyFont="1" applyFill="1" applyAlignment="1">
      <alignment horizontal="right"/>
    </xf>
    <xf numFmtId="0" fontId="102" fillId="0" borderId="0" xfId="0" applyFont="1" applyFill="1" applyBorder="1"/>
    <xf numFmtId="37" fontId="96" fillId="0" borderId="0" xfId="0" applyNumberFormat="1" applyFont="1" applyFill="1" applyAlignment="1">
      <alignment horizontal="right"/>
    </xf>
    <xf numFmtId="37" fontId="19" fillId="0" borderId="0" xfId="0" applyNumberFormat="1" applyFont="1" applyFill="1" applyBorder="1" applyAlignment="1">
      <alignment horizontal="right"/>
    </xf>
  </cellXfs>
  <cellStyles count="4469">
    <cellStyle name="20% - Accent1 2" xfId="7"/>
    <cellStyle name="20% - Accent1 2 2" xfId="8"/>
    <cellStyle name="20% - Accent1 3" xfId="9"/>
    <cellStyle name="20% - Accent1 4" xfId="10"/>
    <cellStyle name="20% - Accent1 5" xfId="11"/>
    <cellStyle name="20% - Accent1 6" xfId="12"/>
    <cellStyle name="20% - Accent1 7" xfId="13"/>
    <cellStyle name="20% - Accent1 8" xfId="14"/>
    <cellStyle name="20% - Accent2 2" xfId="15"/>
    <cellStyle name="20% - Accent2 2 2" xfId="16"/>
    <cellStyle name="20% - Accent2 3" xfId="17"/>
    <cellStyle name="20% - Accent2 4" xfId="18"/>
    <cellStyle name="20% - Accent2 5" xfId="19"/>
    <cellStyle name="20% - Accent2 6" xfId="20"/>
    <cellStyle name="20% - Accent3 2" xfId="21"/>
    <cellStyle name="20% - Accent3 2 2" xfId="22"/>
    <cellStyle name="20% - Accent3 3" xfId="23"/>
    <cellStyle name="20% - Accent3 4" xfId="24"/>
    <cellStyle name="20% - Accent3 5" xfId="25"/>
    <cellStyle name="20% - Accent3 6" xfId="26"/>
    <cellStyle name="20% - Accent3 7" xfId="27"/>
    <cellStyle name="20% - Accent3 8" xfId="28"/>
    <cellStyle name="20% - Accent4 2" xfId="29"/>
    <cellStyle name="20% - Accent4 2 2" xfId="30"/>
    <cellStyle name="20% - Accent4 3" xfId="31"/>
    <cellStyle name="20% - Accent4 4" xfId="32"/>
    <cellStyle name="20% - Accent4 5" xfId="33"/>
    <cellStyle name="20% - Accent4 6" xfId="34"/>
    <cellStyle name="20% - Accent4 7" xfId="35"/>
    <cellStyle name="20% - Accent4 8" xfId="36"/>
    <cellStyle name="20% - Accent5 2" xfId="37"/>
    <cellStyle name="20% - Accent5 2 2" xfId="38"/>
    <cellStyle name="20% - Accent5 3" xfId="39"/>
    <cellStyle name="20% - Accent5 4" xfId="40"/>
    <cellStyle name="20% - Accent5 5" xfId="41"/>
    <cellStyle name="20% - Accent5 6" xfId="42"/>
    <cellStyle name="20% - Accent6 2" xfId="43"/>
    <cellStyle name="20% - Accent6 2 2" xfId="44"/>
    <cellStyle name="20% - Accent6 3" xfId="45"/>
    <cellStyle name="20% - Accent6 4" xfId="46"/>
    <cellStyle name="20% - Accent6 5" xfId="47"/>
    <cellStyle name="20% - Accent6 6" xfId="48"/>
    <cellStyle name="40% - Accent1 2" xfId="49"/>
    <cellStyle name="40% - Accent1 2 2" xfId="50"/>
    <cellStyle name="40% - Accent1 3" xfId="51"/>
    <cellStyle name="40% - Accent1 4" xfId="52"/>
    <cellStyle name="40% - Accent1 5" xfId="53"/>
    <cellStyle name="40% - Accent1 6" xfId="54"/>
    <cellStyle name="40% - Accent1 7" xfId="55"/>
    <cellStyle name="40% - Accent1 8" xfId="56"/>
    <cellStyle name="40% - Accent2 2" xfId="57"/>
    <cellStyle name="40% - Accent2 2 2" xfId="58"/>
    <cellStyle name="40% - Accent2 3" xfId="59"/>
    <cellStyle name="40% - Accent2 4" xfId="60"/>
    <cellStyle name="40% - Accent2 5" xfId="61"/>
    <cellStyle name="40% - Accent2 6" xfId="62"/>
    <cellStyle name="40% - Accent3 2" xfId="63"/>
    <cellStyle name="40% - Accent3 2 2" xfId="64"/>
    <cellStyle name="40% - Accent3 3" xfId="65"/>
    <cellStyle name="40% - Accent3 4" xfId="66"/>
    <cellStyle name="40% - Accent3 5" xfId="67"/>
    <cellStyle name="40% - Accent3 6" xfId="68"/>
    <cellStyle name="40% - Accent3 7" xfId="69"/>
    <cellStyle name="40% - Accent3 8" xfId="70"/>
    <cellStyle name="40% - Accent4 2" xfId="71"/>
    <cellStyle name="40% - Accent4 2 2" xfId="72"/>
    <cellStyle name="40% - Accent4 3" xfId="73"/>
    <cellStyle name="40% - Accent4 4" xfId="74"/>
    <cellStyle name="40% - Accent4 5" xfId="75"/>
    <cellStyle name="40% - Accent4 6" xfId="76"/>
    <cellStyle name="40% - Accent4 7" xfId="77"/>
    <cellStyle name="40% - Accent4 8" xfId="78"/>
    <cellStyle name="40% - Accent5 2" xfId="79"/>
    <cellStyle name="40% - Accent5 2 2" xfId="80"/>
    <cellStyle name="40% - Accent5 3" xfId="81"/>
    <cellStyle name="40% - Accent5 4" xfId="82"/>
    <cellStyle name="40% - Accent5 5" xfId="83"/>
    <cellStyle name="40% - Accent5 6" xfId="84"/>
    <cellStyle name="40% - Accent6 2" xfId="85"/>
    <cellStyle name="40% - Accent6 2 2" xfId="86"/>
    <cellStyle name="40% - Accent6 3" xfId="87"/>
    <cellStyle name="40% - Accent6 4" xfId="88"/>
    <cellStyle name="40% - Accent6 5" xfId="89"/>
    <cellStyle name="40% - Accent6 6" xfId="90"/>
    <cellStyle name="40% - Accent6 7" xfId="91"/>
    <cellStyle name="40% - Accent6 8" xfId="92"/>
    <cellStyle name="60% - Accent1 2" xfId="93"/>
    <cellStyle name="60% - Accent1 3" xfId="94"/>
    <cellStyle name="60% - Accent1 4" xfId="95"/>
    <cellStyle name="60% - Accent1 5" xfId="96"/>
    <cellStyle name="60% - Accent1 6" xfId="97"/>
    <cellStyle name="60% - Accent1 7" xfId="98"/>
    <cellStyle name="60% - Accent1 8" xfId="99"/>
    <cellStyle name="60% - Accent2 2" xfId="100"/>
    <cellStyle name="60% - Accent2 3" xfId="101"/>
    <cellStyle name="60% - Accent2 4" xfId="102"/>
    <cellStyle name="60% - Accent2 5" xfId="103"/>
    <cellStyle name="60% - Accent2 6" xfId="104"/>
    <cellStyle name="60% - Accent3 2" xfId="105"/>
    <cellStyle name="60% - Accent3 3" xfId="106"/>
    <cellStyle name="60% - Accent3 4" xfId="107"/>
    <cellStyle name="60% - Accent3 5" xfId="108"/>
    <cellStyle name="60% - Accent3 6" xfId="109"/>
    <cellStyle name="60% - Accent3 7" xfId="110"/>
    <cellStyle name="60% - Accent3 8" xfId="111"/>
    <cellStyle name="60% - Accent4 2" xfId="112"/>
    <cellStyle name="60% - Accent4 3" xfId="113"/>
    <cellStyle name="60% - Accent4 4" xfId="114"/>
    <cellStyle name="60% - Accent4 5" xfId="115"/>
    <cellStyle name="60% - Accent4 6" xfId="116"/>
    <cellStyle name="60% - Accent4 7" xfId="117"/>
    <cellStyle name="60% - Accent4 8" xfId="118"/>
    <cellStyle name="60% - Accent5 2" xfId="119"/>
    <cellStyle name="60% - Accent5 3" xfId="120"/>
    <cellStyle name="60% - Accent5 4" xfId="121"/>
    <cellStyle name="60% - Accent5 5" xfId="122"/>
    <cellStyle name="60% - Accent5 6" xfId="123"/>
    <cellStyle name="60% - Accent6 2" xfId="124"/>
    <cellStyle name="60% - Accent6 3" xfId="125"/>
    <cellStyle name="60% - Accent6 4" xfId="126"/>
    <cellStyle name="60% - Accent6 5" xfId="127"/>
    <cellStyle name="60% - Accent6 6" xfId="128"/>
    <cellStyle name="60% - Accent6 7" xfId="129"/>
    <cellStyle name="60% - Accent6 8" xfId="130"/>
    <cellStyle name="Accent1 2" xfId="131"/>
    <cellStyle name="Accent1 3" xfId="132"/>
    <cellStyle name="Accent1 4" xfId="133"/>
    <cellStyle name="Accent1 5" xfId="134"/>
    <cellStyle name="Accent1 6" xfId="135"/>
    <cellStyle name="Accent1 7" xfId="136"/>
    <cellStyle name="Accent1 8" xfId="137"/>
    <cellStyle name="Accent2 2" xfId="138"/>
    <cellStyle name="Accent2 3" xfId="139"/>
    <cellStyle name="Accent2 4" xfId="140"/>
    <cellStyle name="Accent2 5" xfId="141"/>
    <cellStyle name="Accent2 6" xfId="142"/>
    <cellStyle name="Accent3 2" xfId="143"/>
    <cellStyle name="Accent3 3" xfId="144"/>
    <cellStyle name="Accent3 4" xfId="145"/>
    <cellStyle name="Accent3 5" xfId="146"/>
    <cellStyle name="Accent3 6" xfId="147"/>
    <cellStyle name="Accent4 2" xfId="148"/>
    <cellStyle name="Accent4 3" xfId="149"/>
    <cellStyle name="Accent4 4" xfId="150"/>
    <cellStyle name="Accent4 5" xfId="151"/>
    <cellStyle name="Accent4 6" xfId="152"/>
    <cellStyle name="Accent4 7" xfId="153"/>
    <cellStyle name="Accent4 8" xfId="154"/>
    <cellStyle name="Accent5 2" xfId="155"/>
    <cellStyle name="Accent5 3" xfId="156"/>
    <cellStyle name="Accent5 4" xfId="157"/>
    <cellStyle name="Accent5 5" xfId="158"/>
    <cellStyle name="Accent5 6" xfId="159"/>
    <cellStyle name="Accent6 2" xfId="160"/>
    <cellStyle name="Accent6 3" xfId="161"/>
    <cellStyle name="Accent6 4" xfId="162"/>
    <cellStyle name="Accent6 5" xfId="163"/>
    <cellStyle name="Accent6 6" xfId="164"/>
    <cellStyle name="Bad 2" xfId="165"/>
    <cellStyle name="Bad 3" xfId="166"/>
    <cellStyle name="Bad 4" xfId="167"/>
    <cellStyle name="Bad 5" xfId="168"/>
    <cellStyle name="Bad 6" xfId="169"/>
    <cellStyle name="Bad 7" xfId="170"/>
    <cellStyle name="Bad 8" xfId="171"/>
    <cellStyle name="Calculation 2" xfId="172"/>
    <cellStyle name="Calculation 3" xfId="173"/>
    <cellStyle name="Calculation 4" xfId="174"/>
    <cellStyle name="Calculation 5" xfId="175"/>
    <cellStyle name="Calculation 6" xfId="176"/>
    <cellStyle name="Check Cell 2" xfId="177"/>
    <cellStyle name="Check Cell 3" xfId="178"/>
    <cellStyle name="Check Cell 4" xfId="179"/>
    <cellStyle name="Check Cell 5" xfId="180"/>
    <cellStyle name="Check Cell 6" xfId="181"/>
    <cellStyle name="Check Cell 7" xfId="182"/>
    <cellStyle name="Check Cell 8" xfId="183"/>
    <cellStyle name="Comma" xfId="1" builtinId="3"/>
    <cellStyle name="Comma 10" xfId="184"/>
    <cellStyle name="Comma 11" xfId="185"/>
    <cellStyle name="Comma 12" xfId="186"/>
    <cellStyle name="Comma 13" xfId="187"/>
    <cellStyle name="Comma 14" xfId="188"/>
    <cellStyle name="Comma 15" xfId="189"/>
    <cellStyle name="Comma 16" xfId="4"/>
    <cellStyle name="Comma 17" xfId="190"/>
    <cellStyle name="Comma 17 2" xfId="472"/>
    <cellStyle name="Comma 17 2 2" xfId="521"/>
    <cellStyle name="Comma 17 2 2 2" xfId="645"/>
    <cellStyle name="Comma 17 2 2 2 2" xfId="893"/>
    <cellStyle name="Comma 17 2 2 2 2 2" xfId="1397"/>
    <cellStyle name="Comma 17 2 2 2 2 2 2" xfId="2399"/>
    <cellStyle name="Comma 17 2 2 2 2 2 2 2" xfId="4403"/>
    <cellStyle name="Comma 17 2 2 2 2 2 3" xfId="3401"/>
    <cellStyle name="Comma 17 2 2 2 2 3" xfId="1898"/>
    <cellStyle name="Comma 17 2 2 2 2 3 2" xfId="3902"/>
    <cellStyle name="Comma 17 2 2 2 2 4" xfId="2900"/>
    <cellStyle name="Comma 17 2 2 2 3" xfId="1149"/>
    <cellStyle name="Comma 17 2 2 2 3 2" xfId="2151"/>
    <cellStyle name="Comma 17 2 2 2 3 2 2" xfId="4155"/>
    <cellStyle name="Comma 17 2 2 2 3 3" xfId="3153"/>
    <cellStyle name="Comma 17 2 2 2 4" xfId="1650"/>
    <cellStyle name="Comma 17 2 2 2 4 2" xfId="3654"/>
    <cellStyle name="Comma 17 2 2 2 5" xfId="2652"/>
    <cellStyle name="Comma 17 2 2 3" xfId="769"/>
    <cellStyle name="Comma 17 2 2 3 2" xfId="1273"/>
    <cellStyle name="Comma 17 2 2 3 2 2" xfId="2275"/>
    <cellStyle name="Comma 17 2 2 3 2 2 2" xfId="4279"/>
    <cellStyle name="Comma 17 2 2 3 2 3" xfId="3277"/>
    <cellStyle name="Comma 17 2 2 3 3" xfId="1774"/>
    <cellStyle name="Comma 17 2 2 3 3 2" xfId="3778"/>
    <cellStyle name="Comma 17 2 2 3 4" xfId="2776"/>
    <cellStyle name="Comma 17 2 2 4" xfId="1025"/>
    <cellStyle name="Comma 17 2 2 4 2" xfId="2027"/>
    <cellStyle name="Comma 17 2 2 4 2 2" xfId="4031"/>
    <cellStyle name="Comma 17 2 2 4 3" xfId="3029"/>
    <cellStyle name="Comma 17 2 2 5" xfId="1526"/>
    <cellStyle name="Comma 17 2 2 5 2" xfId="3530"/>
    <cellStyle name="Comma 17 2 2 6" xfId="2528"/>
    <cellStyle name="Comma 17 2 3" xfId="604"/>
    <cellStyle name="Comma 17 2 3 2" xfId="852"/>
    <cellStyle name="Comma 17 2 3 2 2" xfId="1356"/>
    <cellStyle name="Comma 17 2 3 2 2 2" xfId="2358"/>
    <cellStyle name="Comma 17 2 3 2 2 2 2" xfId="4362"/>
    <cellStyle name="Comma 17 2 3 2 2 3" xfId="3360"/>
    <cellStyle name="Comma 17 2 3 2 3" xfId="1857"/>
    <cellStyle name="Comma 17 2 3 2 3 2" xfId="3861"/>
    <cellStyle name="Comma 17 2 3 2 4" xfId="2859"/>
    <cellStyle name="Comma 17 2 3 3" xfId="1108"/>
    <cellStyle name="Comma 17 2 3 3 2" xfId="2110"/>
    <cellStyle name="Comma 17 2 3 3 2 2" xfId="4114"/>
    <cellStyle name="Comma 17 2 3 3 3" xfId="3112"/>
    <cellStyle name="Comma 17 2 3 4" xfId="1609"/>
    <cellStyle name="Comma 17 2 3 4 2" xfId="3613"/>
    <cellStyle name="Comma 17 2 3 5" xfId="2611"/>
    <cellStyle name="Comma 17 2 4" xfId="728"/>
    <cellStyle name="Comma 17 2 4 2" xfId="1232"/>
    <cellStyle name="Comma 17 2 4 2 2" xfId="2234"/>
    <cellStyle name="Comma 17 2 4 2 2 2" xfId="4238"/>
    <cellStyle name="Comma 17 2 4 2 3" xfId="3236"/>
    <cellStyle name="Comma 17 2 4 3" xfId="1733"/>
    <cellStyle name="Comma 17 2 4 3 2" xfId="3737"/>
    <cellStyle name="Comma 17 2 4 4" xfId="2735"/>
    <cellStyle name="Comma 17 2 5" xfId="984"/>
    <cellStyle name="Comma 17 2 5 2" xfId="1986"/>
    <cellStyle name="Comma 17 2 5 2 2" xfId="3990"/>
    <cellStyle name="Comma 17 2 5 3" xfId="2988"/>
    <cellStyle name="Comma 17 2 6" xfId="1485"/>
    <cellStyle name="Comma 17 2 6 2" xfId="3489"/>
    <cellStyle name="Comma 17 2 7" xfId="2487"/>
    <cellStyle name="Comma 17 3" xfId="500"/>
    <cellStyle name="Comma 17 3 2" xfId="522"/>
    <cellStyle name="Comma 17 3 2 2" xfId="646"/>
    <cellStyle name="Comma 17 3 2 2 2" xfId="894"/>
    <cellStyle name="Comma 17 3 2 2 2 2" xfId="1398"/>
    <cellStyle name="Comma 17 3 2 2 2 2 2" xfId="2400"/>
    <cellStyle name="Comma 17 3 2 2 2 2 2 2" xfId="4404"/>
    <cellStyle name="Comma 17 3 2 2 2 2 3" xfId="3402"/>
    <cellStyle name="Comma 17 3 2 2 2 3" xfId="1899"/>
    <cellStyle name="Comma 17 3 2 2 2 3 2" xfId="3903"/>
    <cellStyle name="Comma 17 3 2 2 2 4" xfId="2901"/>
    <cellStyle name="Comma 17 3 2 2 3" xfId="1150"/>
    <cellStyle name="Comma 17 3 2 2 3 2" xfId="2152"/>
    <cellStyle name="Comma 17 3 2 2 3 2 2" xfId="4156"/>
    <cellStyle name="Comma 17 3 2 2 3 3" xfId="3154"/>
    <cellStyle name="Comma 17 3 2 2 4" xfId="1651"/>
    <cellStyle name="Comma 17 3 2 2 4 2" xfId="3655"/>
    <cellStyle name="Comma 17 3 2 2 5" xfId="2653"/>
    <cellStyle name="Comma 17 3 2 3" xfId="770"/>
    <cellStyle name="Comma 17 3 2 3 2" xfId="1274"/>
    <cellStyle name="Comma 17 3 2 3 2 2" xfId="2276"/>
    <cellStyle name="Comma 17 3 2 3 2 2 2" xfId="4280"/>
    <cellStyle name="Comma 17 3 2 3 2 3" xfId="3278"/>
    <cellStyle name="Comma 17 3 2 3 3" xfId="1775"/>
    <cellStyle name="Comma 17 3 2 3 3 2" xfId="3779"/>
    <cellStyle name="Comma 17 3 2 3 4" xfId="2777"/>
    <cellStyle name="Comma 17 3 2 4" xfId="1026"/>
    <cellStyle name="Comma 17 3 2 4 2" xfId="2028"/>
    <cellStyle name="Comma 17 3 2 4 2 2" xfId="4032"/>
    <cellStyle name="Comma 17 3 2 4 3" xfId="3030"/>
    <cellStyle name="Comma 17 3 2 5" xfId="1527"/>
    <cellStyle name="Comma 17 3 2 5 2" xfId="3531"/>
    <cellStyle name="Comma 17 3 2 6" xfId="2529"/>
    <cellStyle name="Comma 17 3 3" xfId="624"/>
    <cellStyle name="Comma 17 3 3 2" xfId="872"/>
    <cellStyle name="Comma 17 3 3 2 2" xfId="1376"/>
    <cellStyle name="Comma 17 3 3 2 2 2" xfId="2378"/>
    <cellStyle name="Comma 17 3 3 2 2 2 2" xfId="4382"/>
    <cellStyle name="Comma 17 3 3 2 2 3" xfId="3380"/>
    <cellStyle name="Comma 17 3 3 2 3" xfId="1877"/>
    <cellStyle name="Comma 17 3 3 2 3 2" xfId="3881"/>
    <cellStyle name="Comma 17 3 3 2 4" xfId="2879"/>
    <cellStyle name="Comma 17 3 3 3" xfId="1128"/>
    <cellStyle name="Comma 17 3 3 3 2" xfId="2130"/>
    <cellStyle name="Comma 17 3 3 3 2 2" xfId="4134"/>
    <cellStyle name="Comma 17 3 3 3 3" xfId="3132"/>
    <cellStyle name="Comma 17 3 3 4" xfId="1629"/>
    <cellStyle name="Comma 17 3 3 4 2" xfId="3633"/>
    <cellStyle name="Comma 17 3 3 5" xfId="2631"/>
    <cellStyle name="Comma 17 3 4" xfId="748"/>
    <cellStyle name="Comma 17 3 4 2" xfId="1252"/>
    <cellStyle name="Comma 17 3 4 2 2" xfId="2254"/>
    <cellStyle name="Comma 17 3 4 2 2 2" xfId="4258"/>
    <cellStyle name="Comma 17 3 4 2 3" xfId="3256"/>
    <cellStyle name="Comma 17 3 4 3" xfId="1753"/>
    <cellStyle name="Comma 17 3 4 3 2" xfId="3757"/>
    <cellStyle name="Comma 17 3 4 4" xfId="2755"/>
    <cellStyle name="Comma 17 3 5" xfId="1004"/>
    <cellStyle name="Comma 17 3 5 2" xfId="2006"/>
    <cellStyle name="Comma 17 3 5 2 2" xfId="4010"/>
    <cellStyle name="Comma 17 3 5 3" xfId="3008"/>
    <cellStyle name="Comma 17 3 6" xfId="1505"/>
    <cellStyle name="Comma 17 3 6 2" xfId="3509"/>
    <cellStyle name="Comma 17 3 7" xfId="2507"/>
    <cellStyle name="Comma 17 4" xfId="520"/>
    <cellStyle name="Comma 17 4 2" xfId="644"/>
    <cellStyle name="Comma 17 4 2 2" xfId="892"/>
    <cellStyle name="Comma 17 4 2 2 2" xfId="1396"/>
    <cellStyle name="Comma 17 4 2 2 2 2" xfId="2398"/>
    <cellStyle name="Comma 17 4 2 2 2 2 2" xfId="4402"/>
    <cellStyle name="Comma 17 4 2 2 2 3" xfId="3400"/>
    <cellStyle name="Comma 17 4 2 2 3" xfId="1897"/>
    <cellStyle name="Comma 17 4 2 2 3 2" xfId="3901"/>
    <cellStyle name="Comma 17 4 2 2 4" xfId="2899"/>
    <cellStyle name="Comma 17 4 2 3" xfId="1148"/>
    <cellStyle name="Comma 17 4 2 3 2" xfId="2150"/>
    <cellStyle name="Comma 17 4 2 3 2 2" xfId="4154"/>
    <cellStyle name="Comma 17 4 2 3 3" xfId="3152"/>
    <cellStyle name="Comma 17 4 2 4" xfId="1649"/>
    <cellStyle name="Comma 17 4 2 4 2" xfId="3653"/>
    <cellStyle name="Comma 17 4 2 5" xfId="2651"/>
    <cellStyle name="Comma 17 4 3" xfId="768"/>
    <cellStyle name="Comma 17 4 3 2" xfId="1272"/>
    <cellStyle name="Comma 17 4 3 2 2" xfId="2274"/>
    <cellStyle name="Comma 17 4 3 2 2 2" xfId="4278"/>
    <cellStyle name="Comma 17 4 3 2 3" xfId="3276"/>
    <cellStyle name="Comma 17 4 3 3" xfId="1773"/>
    <cellStyle name="Comma 17 4 3 3 2" xfId="3777"/>
    <cellStyle name="Comma 17 4 3 4" xfId="2775"/>
    <cellStyle name="Comma 17 4 4" xfId="1024"/>
    <cellStyle name="Comma 17 4 4 2" xfId="2026"/>
    <cellStyle name="Comma 17 4 4 2 2" xfId="4030"/>
    <cellStyle name="Comma 17 4 4 3" xfId="3028"/>
    <cellStyle name="Comma 17 4 5" xfId="1525"/>
    <cellStyle name="Comma 17 4 5 2" xfId="3529"/>
    <cellStyle name="Comma 17 4 6" xfId="2527"/>
    <cellStyle name="Comma 17 5" xfId="582"/>
    <cellStyle name="Comma 17 5 2" xfId="830"/>
    <cellStyle name="Comma 17 5 2 2" xfId="1334"/>
    <cellStyle name="Comma 17 5 2 2 2" xfId="2336"/>
    <cellStyle name="Comma 17 5 2 2 2 2" xfId="4340"/>
    <cellStyle name="Comma 17 5 2 2 3" xfId="3338"/>
    <cellStyle name="Comma 17 5 2 3" xfId="1835"/>
    <cellStyle name="Comma 17 5 2 3 2" xfId="3839"/>
    <cellStyle name="Comma 17 5 2 4" xfId="2837"/>
    <cellStyle name="Comma 17 5 3" xfId="1086"/>
    <cellStyle name="Comma 17 5 3 2" xfId="2088"/>
    <cellStyle name="Comma 17 5 3 2 2" xfId="4092"/>
    <cellStyle name="Comma 17 5 3 3" xfId="3090"/>
    <cellStyle name="Comma 17 5 4" xfId="1587"/>
    <cellStyle name="Comma 17 5 4 2" xfId="3591"/>
    <cellStyle name="Comma 17 5 5" xfId="2589"/>
    <cellStyle name="Comma 17 6" xfId="706"/>
    <cellStyle name="Comma 17 6 2" xfId="1210"/>
    <cellStyle name="Comma 17 6 2 2" xfId="2212"/>
    <cellStyle name="Comma 17 6 2 2 2" xfId="4216"/>
    <cellStyle name="Comma 17 6 2 3" xfId="3214"/>
    <cellStyle name="Comma 17 6 3" xfId="1711"/>
    <cellStyle name="Comma 17 6 3 2" xfId="3715"/>
    <cellStyle name="Comma 17 6 4" xfId="2713"/>
    <cellStyle name="Comma 17 7" xfId="962"/>
    <cellStyle name="Comma 17 7 2" xfId="1964"/>
    <cellStyle name="Comma 17 7 2 2" xfId="3968"/>
    <cellStyle name="Comma 17 7 3" xfId="2966"/>
    <cellStyle name="Comma 17 8" xfId="1463"/>
    <cellStyle name="Comma 17 8 2" xfId="3467"/>
    <cellStyle name="Comma 17 9" xfId="2465"/>
    <cellStyle name="Comma 18" xfId="191"/>
    <cellStyle name="Comma 19" xfId="5"/>
    <cellStyle name="Comma 2" xfId="192"/>
    <cellStyle name="Comma 2 2" xfId="193"/>
    <cellStyle name="Comma 2 2 2" xfId="451"/>
    <cellStyle name="Comma 2 2 3" xfId="473"/>
    <cellStyle name="Comma 2 3" xfId="194"/>
    <cellStyle name="Comma 2 4" xfId="195"/>
    <cellStyle name="Comma 2_Allocators" xfId="196"/>
    <cellStyle name="Comma 20" xfId="197"/>
    <cellStyle name="Comma 20 2" xfId="474"/>
    <cellStyle name="Comma 20 2 2" xfId="524"/>
    <cellStyle name="Comma 20 2 2 2" xfId="648"/>
    <cellStyle name="Comma 20 2 2 2 2" xfId="896"/>
    <cellStyle name="Comma 20 2 2 2 2 2" xfId="1400"/>
    <cellStyle name="Comma 20 2 2 2 2 2 2" xfId="2402"/>
    <cellStyle name="Comma 20 2 2 2 2 2 2 2" xfId="4406"/>
    <cellStyle name="Comma 20 2 2 2 2 2 3" xfId="3404"/>
    <cellStyle name="Comma 20 2 2 2 2 3" xfId="1901"/>
    <cellStyle name="Comma 20 2 2 2 2 3 2" xfId="3905"/>
    <cellStyle name="Comma 20 2 2 2 2 4" xfId="2903"/>
    <cellStyle name="Comma 20 2 2 2 3" xfId="1152"/>
    <cellStyle name="Comma 20 2 2 2 3 2" xfId="2154"/>
    <cellStyle name="Comma 20 2 2 2 3 2 2" xfId="4158"/>
    <cellStyle name="Comma 20 2 2 2 3 3" xfId="3156"/>
    <cellStyle name="Comma 20 2 2 2 4" xfId="1653"/>
    <cellStyle name="Comma 20 2 2 2 4 2" xfId="3657"/>
    <cellStyle name="Comma 20 2 2 2 5" xfId="2655"/>
    <cellStyle name="Comma 20 2 2 3" xfId="772"/>
    <cellStyle name="Comma 20 2 2 3 2" xfId="1276"/>
    <cellStyle name="Comma 20 2 2 3 2 2" xfId="2278"/>
    <cellStyle name="Comma 20 2 2 3 2 2 2" xfId="4282"/>
    <cellStyle name="Comma 20 2 2 3 2 3" xfId="3280"/>
    <cellStyle name="Comma 20 2 2 3 3" xfId="1777"/>
    <cellStyle name="Comma 20 2 2 3 3 2" xfId="3781"/>
    <cellStyle name="Comma 20 2 2 3 4" xfId="2779"/>
    <cellStyle name="Comma 20 2 2 4" xfId="1028"/>
    <cellStyle name="Comma 20 2 2 4 2" xfId="2030"/>
    <cellStyle name="Comma 20 2 2 4 2 2" xfId="4034"/>
    <cellStyle name="Comma 20 2 2 4 3" xfId="3032"/>
    <cellStyle name="Comma 20 2 2 5" xfId="1529"/>
    <cellStyle name="Comma 20 2 2 5 2" xfId="3533"/>
    <cellStyle name="Comma 20 2 2 6" xfId="2531"/>
    <cellStyle name="Comma 20 2 3" xfId="605"/>
    <cellStyle name="Comma 20 2 3 2" xfId="853"/>
    <cellStyle name="Comma 20 2 3 2 2" xfId="1357"/>
    <cellStyle name="Comma 20 2 3 2 2 2" xfId="2359"/>
    <cellStyle name="Comma 20 2 3 2 2 2 2" xfId="4363"/>
    <cellStyle name="Comma 20 2 3 2 2 3" xfId="3361"/>
    <cellStyle name="Comma 20 2 3 2 3" xfId="1858"/>
    <cellStyle name="Comma 20 2 3 2 3 2" xfId="3862"/>
    <cellStyle name="Comma 20 2 3 2 4" xfId="2860"/>
    <cellStyle name="Comma 20 2 3 3" xfId="1109"/>
    <cellStyle name="Comma 20 2 3 3 2" xfId="2111"/>
    <cellStyle name="Comma 20 2 3 3 2 2" xfId="4115"/>
    <cellStyle name="Comma 20 2 3 3 3" xfId="3113"/>
    <cellStyle name="Comma 20 2 3 4" xfId="1610"/>
    <cellStyle name="Comma 20 2 3 4 2" xfId="3614"/>
    <cellStyle name="Comma 20 2 3 5" xfId="2612"/>
    <cellStyle name="Comma 20 2 4" xfId="729"/>
    <cellStyle name="Comma 20 2 4 2" xfId="1233"/>
    <cellStyle name="Comma 20 2 4 2 2" xfId="2235"/>
    <cellStyle name="Comma 20 2 4 2 2 2" xfId="4239"/>
    <cellStyle name="Comma 20 2 4 2 3" xfId="3237"/>
    <cellStyle name="Comma 20 2 4 3" xfId="1734"/>
    <cellStyle name="Comma 20 2 4 3 2" xfId="3738"/>
    <cellStyle name="Comma 20 2 4 4" xfId="2736"/>
    <cellStyle name="Comma 20 2 5" xfId="985"/>
    <cellStyle name="Comma 20 2 5 2" xfId="1987"/>
    <cellStyle name="Comma 20 2 5 2 2" xfId="3991"/>
    <cellStyle name="Comma 20 2 5 3" xfId="2989"/>
    <cellStyle name="Comma 20 2 6" xfId="1486"/>
    <cellStyle name="Comma 20 2 6 2" xfId="3490"/>
    <cellStyle name="Comma 20 2 7" xfId="2488"/>
    <cellStyle name="Comma 20 3" xfId="501"/>
    <cellStyle name="Comma 20 3 2" xfId="525"/>
    <cellStyle name="Comma 20 3 2 2" xfId="649"/>
    <cellStyle name="Comma 20 3 2 2 2" xfId="897"/>
    <cellStyle name="Comma 20 3 2 2 2 2" xfId="1401"/>
    <cellStyle name="Comma 20 3 2 2 2 2 2" xfId="2403"/>
    <cellStyle name="Comma 20 3 2 2 2 2 2 2" xfId="4407"/>
    <cellStyle name="Comma 20 3 2 2 2 2 3" xfId="3405"/>
    <cellStyle name="Comma 20 3 2 2 2 3" xfId="1902"/>
    <cellStyle name="Comma 20 3 2 2 2 3 2" xfId="3906"/>
    <cellStyle name="Comma 20 3 2 2 2 4" xfId="2904"/>
    <cellStyle name="Comma 20 3 2 2 3" xfId="1153"/>
    <cellStyle name="Comma 20 3 2 2 3 2" xfId="2155"/>
    <cellStyle name="Comma 20 3 2 2 3 2 2" xfId="4159"/>
    <cellStyle name="Comma 20 3 2 2 3 3" xfId="3157"/>
    <cellStyle name="Comma 20 3 2 2 4" xfId="1654"/>
    <cellStyle name="Comma 20 3 2 2 4 2" xfId="3658"/>
    <cellStyle name="Comma 20 3 2 2 5" xfId="2656"/>
    <cellStyle name="Comma 20 3 2 3" xfId="773"/>
    <cellStyle name="Comma 20 3 2 3 2" xfId="1277"/>
    <cellStyle name="Comma 20 3 2 3 2 2" xfId="2279"/>
    <cellStyle name="Comma 20 3 2 3 2 2 2" xfId="4283"/>
    <cellStyle name="Comma 20 3 2 3 2 3" xfId="3281"/>
    <cellStyle name="Comma 20 3 2 3 3" xfId="1778"/>
    <cellStyle name="Comma 20 3 2 3 3 2" xfId="3782"/>
    <cellStyle name="Comma 20 3 2 3 4" xfId="2780"/>
    <cellStyle name="Comma 20 3 2 4" xfId="1029"/>
    <cellStyle name="Comma 20 3 2 4 2" xfId="2031"/>
    <cellStyle name="Comma 20 3 2 4 2 2" xfId="4035"/>
    <cellStyle name="Comma 20 3 2 4 3" xfId="3033"/>
    <cellStyle name="Comma 20 3 2 5" xfId="1530"/>
    <cellStyle name="Comma 20 3 2 5 2" xfId="3534"/>
    <cellStyle name="Comma 20 3 2 6" xfId="2532"/>
    <cellStyle name="Comma 20 3 3" xfId="625"/>
    <cellStyle name="Comma 20 3 3 2" xfId="873"/>
    <cellStyle name="Comma 20 3 3 2 2" xfId="1377"/>
    <cellStyle name="Comma 20 3 3 2 2 2" xfId="2379"/>
    <cellStyle name="Comma 20 3 3 2 2 2 2" xfId="4383"/>
    <cellStyle name="Comma 20 3 3 2 2 3" xfId="3381"/>
    <cellStyle name="Comma 20 3 3 2 3" xfId="1878"/>
    <cellStyle name="Comma 20 3 3 2 3 2" xfId="3882"/>
    <cellStyle name="Comma 20 3 3 2 4" xfId="2880"/>
    <cellStyle name="Comma 20 3 3 3" xfId="1129"/>
    <cellStyle name="Comma 20 3 3 3 2" xfId="2131"/>
    <cellStyle name="Comma 20 3 3 3 2 2" xfId="4135"/>
    <cellStyle name="Comma 20 3 3 3 3" xfId="3133"/>
    <cellStyle name="Comma 20 3 3 4" xfId="1630"/>
    <cellStyle name="Comma 20 3 3 4 2" xfId="3634"/>
    <cellStyle name="Comma 20 3 3 5" xfId="2632"/>
    <cellStyle name="Comma 20 3 4" xfId="749"/>
    <cellStyle name="Comma 20 3 4 2" xfId="1253"/>
    <cellStyle name="Comma 20 3 4 2 2" xfId="2255"/>
    <cellStyle name="Comma 20 3 4 2 2 2" xfId="4259"/>
    <cellStyle name="Comma 20 3 4 2 3" xfId="3257"/>
    <cellStyle name="Comma 20 3 4 3" xfId="1754"/>
    <cellStyle name="Comma 20 3 4 3 2" xfId="3758"/>
    <cellStyle name="Comma 20 3 4 4" xfId="2756"/>
    <cellStyle name="Comma 20 3 5" xfId="1005"/>
    <cellStyle name="Comma 20 3 5 2" xfId="2007"/>
    <cellStyle name="Comma 20 3 5 2 2" xfId="4011"/>
    <cellStyle name="Comma 20 3 5 3" xfId="3009"/>
    <cellStyle name="Comma 20 3 6" xfId="1506"/>
    <cellStyle name="Comma 20 3 6 2" xfId="3510"/>
    <cellStyle name="Comma 20 3 7" xfId="2508"/>
    <cellStyle name="Comma 20 4" xfId="523"/>
    <cellStyle name="Comma 20 4 2" xfId="647"/>
    <cellStyle name="Comma 20 4 2 2" xfId="895"/>
    <cellStyle name="Comma 20 4 2 2 2" xfId="1399"/>
    <cellStyle name="Comma 20 4 2 2 2 2" xfId="2401"/>
    <cellStyle name="Comma 20 4 2 2 2 2 2" xfId="4405"/>
    <cellStyle name="Comma 20 4 2 2 2 3" xfId="3403"/>
    <cellStyle name="Comma 20 4 2 2 3" xfId="1900"/>
    <cellStyle name="Comma 20 4 2 2 3 2" xfId="3904"/>
    <cellStyle name="Comma 20 4 2 2 4" xfId="2902"/>
    <cellStyle name="Comma 20 4 2 3" xfId="1151"/>
    <cellStyle name="Comma 20 4 2 3 2" xfId="2153"/>
    <cellStyle name="Comma 20 4 2 3 2 2" xfId="4157"/>
    <cellStyle name="Comma 20 4 2 3 3" xfId="3155"/>
    <cellStyle name="Comma 20 4 2 4" xfId="1652"/>
    <cellStyle name="Comma 20 4 2 4 2" xfId="3656"/>
    <cellStyle name="Comma 20 4 2 5" xfId="2654"/>
    <cellStyle name="Comma 20 4 3" xfId="771"/>
    <cellStyle name="Comma 20 4 3 2" xfId="1275"/>
    <cellStyle name="Comma 20 4 3 2 2" xfId="2277"/>
    <cellStyle name="Comma 20 4 3 2 2 2" xfId="4281"/>
    <cellStyle name="Comma 20 4 3 2 3" xfId="3279"/>
    <cellStyle name="Comma 20 4 3 3" xfId="1776"/>
    <cellStyle name="Comma 20 4 3 3 2" xfId="3780"/>
    <cellStyle name="Comma 20 4 3 4" xfId="2778"/>
    <cellStyle name="Comma 20 4 4" xfId="1027"/>
    <cellStyle name="Comma 20 4 4 2" xfId="2029"/>
    <cellStyle name="Comma 20 4 4 2 2" xfId="4033"/>
    <cellStyle name="Comma 20 4 4 3" xfId="3031"/>
    <cellStyle name="Comma 20 4 5" xfId="1528"/>
    <cellStyle name="Comma 20 4 5 2" xfId="3532"/>
    <cellStyle name="Comma 20 4 6" xfId="2530"/>
    <cellStyle name="Comma 20 5" xfId="583"/>
    <cellStyle name="Comma 20 5 2" xfId="831"/>
    <cellStyle name="Comma 20 5 2 2" xfId="1335"/>
    <cellStyle name="Comma 20 5 2 2 2" xfId="2337"/>
    <cellStyle name="Comma 20 5 2 2 2 2" xfId="4341"/>
    <cellStyle name="Comma 20 5 2 2 3" xfId="3339"/>
    <cellStyle name="Comma 20 5 2 3" xfId="1836"/>
    <cellStyle name="Comma 20 5 2 3 2" xfId="3840"/>
    <cellStyle name="Comma 20 5 2 4" xfId="2838"/>
    <cellStyle name="Comma 20 5 3" xfId="1087"/>
    <cellStyle name="Comma 20 5 3 2" xfId="2089"/>
    <cellStyle name="Comma 20 5 3 2 2" xfId="4093"/>
    <cellStyle name="Comma 20 5 3 3" xfId="3091"/>
    <cellStyle name="Comma 20 5 4" xfId="1588"/>
    <cellStyle name="Comma 20 5 4 2" xfId="3592"/>
    <cellStyle name="Comma 20 5 5" xfId="2590"/>
    <cellStyle name="Comma 20 6" xfId="707"/>
    <cellStyle name="Comma 20 6 2" xfId="1211"/>
    <cellStyle name="Comma 20 6 2 2" xfId="2213"/>
    <cellStyle name="Comma 20 6 2 2 2" xfId="4217"/>
    <cellStyle name="Comma 20 6 2 3" xfId="3215"/>
    <cellStyle name="Comma 20 6 3" xfId="1712"/>
    <cellStyle name="Comma 20 6 3 2" xfId="3716"/>
    <cellStyle name="Comma 20 6 4" xfId="2714"/>
    <cellStyle name="Comma 20 7" xfId="963"/>
    <cellStyle name="Comma 20 7 2" xfId="1965"/>
    <cellStyle name="Comma 20 7 2 2" xfId="3969"/>
    <cellStyle name="Comma 20 7 3" xfId="2967"/>
    <cellStyle name="Comma 20 8" xfId="1464"/>
    <cellStyle name="Comma 20 8 2" xfId="3468"/>
    <cellStyle name="Comma 20 9" xfId="2466"/>
    <cellStyle name="Comma 3" xfId="198"/>
    <cellStyle name="Comma 3 10" xfId="468"/>
    <cellStyle name="Comma 3 10 2" xfId="498"/>
    <cellStyle name="Comma 3 10 2 2" xfId="527"/>
    <cellStyle name="Comma 3 10 2 2 2" xfId="651"/>
    <cellStyle name="Comma 3 10 2 2 2 2" xfId="899"/>
    <cellStyle name="Comma 3 10 2 2 2 2 2" xfId="1403"/>
    <cellStyle name="Comma 3 10 2 2 2 2 2 2" xfId="2405"/>
    <cellStyle name="Comma 3 10 2 2 2 2 2 2 2" xfId="4409"/>
    <cellStyle name="Comma 3 10 2 2 2 2 2 3" xfId="3407"/>
    <cellStyle name="Comma 3 10 2 2 2 2 3" xfId="1904"/>
    <cellStyle name="Comma 3 10 2 2 2 2 3 2" xfId="3908"/>
    <cellStyle name="Comma 3 10 2 2 2 2 4" xfId="2906"/>
    <cellStyle name="Comma 3 10 2 2 2 3" xfId="1155"/>
    <cellStyle name="Comma 3 10 2 2 2 3 2" xfId="2157"/>
    <cellStyle name="Comma 3 10 2 2 2 3 2 2" xfId="4161"/>
    <cellStyle name="Comma 3 10 2 2 2 3 3" xfId="3159"/>
    <cellStyle name="Comma 3 10 2 2 2 4" xfId="1656"/>
    <cellStyle name="Comma 3 10 2 2 2 4 2" xfId="3660"/>
    <cellStyle name="Comma 3 10 2 2 2 5" xfId="2658"/>
    <cellStyle name="Comma 3 10 2 2 3" xfId="775"/>
    <cellStyle name="Comma 3 10 2 2 3 2" xfId="1279"/>
    <cellStyle name="Comma 3 10 2 2 3 2 2" xfId="2281"/>
    <cellStyle name="Comma 3 10 2 2 3 2 2 2" xfId="4285"/>
    <cellStyle name="Comma 3 10 2 2 3 2 3" xfId="3283"/>
    <cellStyle name="Comma 3 10 2 2 3 3" xfId="1780"/>
    <cellStyle name="Comma 3 10 2 2 3 3 2" xfId="3784"/>
    <cellStyle name="Comma 3 10 2 2 3 4" xfId="2782"/>
    <cellStyle name="Comma 3 10 2 2 4" xfId="1031"/>
    <cellStyle name="Comma 3 10 2 2 4 2" xfId="2033"/>
    <cellStyle name="Comma 3 10 2 2 4 2 2" xfId="4037"/>
    <cellStyle name="Comma 3 10 2 2 4 3" xfId="3035"/>
    <cellStyle name="Comma 3 10 2 2 5" xfId="1532"/>
    <cellStyle name="Comma 3 10 2 2 5 2" xfId="3536"/>
    <cellStyle name="Comma 3 10 2 2 6" xfId="2534"/>
    <cellStyle name="Comma 3 10 2 3" xfId="622"/>
    <cellStyle name="Comma 3 10 2 3 2" xfId="870"/>
    <cellStyle name="Comma 3 10 2 3 2 2" xfId="1374"/>
    <cellStyle name="Comma 3 10 2 3 2 2 2" xfId="2376"/>
    <cellStyle name="Comma 3 10 2 3 2 2 2 2" xfId="4380"/>
    <cellStyle name="Comma 3 10 2 3 2 2 3" xfId="3378"/>
    <cellStyle name="Comma 3 10 2 3 2 3" xfId="1875"/>
    <cellStyle name="Comma 3 10 2 3 2 3 2" xfId="3879"/>
    <cellStyle name="Comma 3 10 2 3 2 4" xfId="2877"/>
    <cellStyle name="Comma 3 10 2 3 3" xfId="1126"/>
    <cellStyle name="Comma 3 10 2 3 3 2" xfId="2128"/>
    <cellStyle name="Comma 3 10 2 3 3 2 2" xfId="4132"/>
    <cellStyle name="Comma 3 10 2 3 3 3" xfId="3130"/>
    <cellStyle name="Comma 3 10 2 3 4" xfId="1627"/>
    <cellStyle name="Comma 3 10 2 3 4 2" xfId="3631"/>
    <cellStyle name="Comma 3 10 2 3 5" xfId="2629"/>
    <cellStyle name="Comma 3 10 2 4" xfId="746"/>
    <cellStyle name="Comma 3 10 2 4 2" xfId="1250"/>
    <cellStyle name="Comma 3 10 2 4 2 2" xfId="2252"/>
    <cellStyle name="Comma 3 10 2 4 2 2 2" xfId="4256"/>
    <cellStyle name="Comma 3 10 2 4 2 3" xfId="3254"/>
    <cellStyle name="Comma 3 10 2 4 3" xfId="1751"/>
    <cellStyle name="Comma 3 10 2 4 3 2" xfId="3755"/>
    <cellStyle name="Comma 3 10 2 4 4" xfId="2753"/>
    <cellStyle name="Comma 3 10 2 5" xfId="1002"/>
    <cellStyle name="Comma 3 10 2 5 2" xfId="2004"/>
    <cellStyle name="Comma 3 10 2 5 2 2" xfId="4008"/>
    <cellStyle name="Comma 3 10 2 5 3" xfId="3006"/>
    <cellStyle name="Comma 3 10 2 6" xfId="1503"/>
    <cellStyle name="Comma 3 10 2 6 2" xfId="3507"/>
    <cellStyle name="Comma 3 10 2 7" xfId="2505"/>
    <cellStyle name="Comma 3 10 3" xfId="518"/>
    <cellStyle name="Comma 3 10 3 2" xfId="528"/>
    <cellStyle name="Comma 3 10 3 2 2" xfId="652"/>
    <cellStyle name="Comma 3 10 3 2 2 2" xfId="900"/>
    <cellStyle name="Comma 3 10 3 2 2 2 2" xfId="1404"/>
    <cellStyle name="Comma 3 10 3 2 2 2 2 2" xfId="2406"/>
    <cellStyle name="Comma 3 10 3 2 2 2 2 2 2" xfId="4410"/>
    <cellStyle name="Comma 3 10 3 2 2 2 2 3" xfId="3408"/>
    <cellStyle name="Comma 3 10 3 2 2 2 3" xfId="1905"/>
    <cellStyle name="Comma 3 10 3 2 2 2 3 2" xfId="3909"/>
    <cellStyle name="Comma 3 10 3 2 2 2 4" xfId="2907"/>
    <cellStyle name="Comma 3 10 3 2 2 3" xfId="1156"/>
    <cellStyle name="Comma 3 10 3 2 2 3 2" xfId="2158"/>
    <cellStyle name="Comma 3 10 3 2 2 3 2 2" xfId="4162"/>
    <cellStyle name="Comma 3 10 3 2 2 3 3" xfId="3160"/>
    <cellStyle name="Comma 3 10 3 2 2 4" xfId="1657"/>
    <cellStyle name="Comma 3 10 3 2 2 4 2" xfId="3661"/>
    <cellStyle name="Comma 3 10 3 2 2 5" xfId="2659"/>
    <cellStyle name="Comma 3 10 3 2 3" xfId="776"/>
    <cellStyle name="Comma 3 10 3 2 3 2" xfId="1280"/>
    <cellStyle name="Comma 3 10 3 2 3 2 2" xfId="2282"/>
    <cellStyle name="Comma 3 10 3 2 3 2 2 2" xfId="4286"/>
    <cellStyle name="Comma 3 10 3 2 3 2 3" xfId="3284"/>
    <cellStyle name="Comma 3 10 3 2 3 3" xfId="1781"/>
    <cellStyle name="Comma 3 10 3 2 3 3 2" xfId="3785"/>
    <cellStyle name="Comma 3 10 3 2 3 4" xfId="2783"/>
    <cellStyle name="Comma 3 10 3 2 4" xfId="1032"/>
    <cellStyle name="Comma 3 10 3 2 4 2" xfId="2034"/>
    <cellStyle name="Comma 3 10 3 2 4 2 2" xfId="4038"/>
    <cellStyle name="Comma 3 10 3 2 4 3" xfId="3036"/>
    <cellStyle name="Comma 3 10 3 2 5" xfId="1533"/>
    <cellStyle name="Comma 3 10 3 2 5 2" xfId="3537"/>
    <cellStyle name="Comma 3 10 3 2 6" xfId="2535"/>
    <cellStyle name="Comma 3 10 3 3" xfId="642"/>
    <cellStyle name="Comma 3 10 3 3 2" xfId="890"/>
    <cellStyle name="Comma 3 10 3 3 2 2" xfId="1394"/>
    <cellStyle name="Comma 3 10 3 3 2 2 2" xfId="2396"/>
    <cellStyle name="Comma 3 10 3 3 2 2 2 2" xfId="4400"/>
    <cellStyle name="Comma 3 10 3 3 2 2 3" xfId="3398"/>
    <cellStyle name="Comma 3 10 3 3 2 3" xfId="1895"/>
    <cellStyle name="Comma 3 10 3 3 2 3 2" xfId="3899"/>
    <cellStyle name="Comma 3 10 3 3 2 4" xfId="2897"/>
    <cellStyle name="Comma 3 10 3 3 3" xfId="1146"/>
    <cellStyle name="Comma 3 10 3 3 3 2" xfId="2148"/>
    <cellStyle name="Comma 3 10 3 3 3 2 2" xfId="4152"/>
    <cellStyle name="Comma 3 10 3 3 3 3" xfId="3150"/>
    <cellStyle name="Comma 3 10 3 3 4" xfId="1647"/>
    <cellStyle name="Comma 3 10 3 3 4 2" xfId="3651"/>
    <cellStyle name="Comma 3 10 3 3 5" xfId="2649"/>
    <cellStyle name="Comma 3 10 3 4" xfId="766"/>
    <cellStyle name="Comma 3 10 3 4 2" xfId="1270"/>
    <cellStyle name="Comma 3 10 3 4 2 2" xfId="2272"/>
    <cellStyle name="Comma 3 10 3 4 2 2 2" xfId="4276"/>
    <cellStyle name="Comma 3 10 3 4 2 3" xfId="3274"/>
    <cellStyle name="Comma 3 10 3 4 3" xfId="1771"/>
    <cellStyle name="Comma 3 10 3 4 3 2" xfId="3775"/>
    <cellStyle name="Comma 3 10 3 4 4" xfId="2773"/>
    <cellStyle name="Comma 3 10 3 5" xfId="1022"/>
    <cellStyle name="Comma 3 10 3 5 2" xfId="2024"/>
    <cellStyle name="Comma 3 10 3 5 2 2" xfId="4028"/>
    <cellStyle name="Comma 3 10 3 5 3" xfId="3026"/>
    <cellStyle name="Comma 3 10 3 6" xfId="1523"/>
    <cellStyle name="Comma 3 10 3 6 2" xfId="3527"/>
    <cellStyle name="Comma 3 10 3 7" xfId="2525"/>
    <cellStyle name="Comma 3 10 4" xfId="526"/>
    <cellStyle name="Comma 3 10 4 2" xfId="650"/>
    <cellStyle name="Comma 3 10 4 2 2" xfId="898"/>
    <cellStyle name="Comma 3 10 4 2 2 2" xfId="1402"/>
    <cellStyle name="Comma 3 10 4 2 2 2 2" xfId="2404"/>
    <cellStyle name="Comma 3 10 4 2 2 2 2 2" xfId="4408"/>
    <cellStyle name="Comma 3 10 4 2 2 2 3" xfId="3406"/>
    <cellStyle name="Comma 3 10 4 2 2 3" xfId="1903"/>
    <cellStyle name="Comma 3 10 4 2 2 3 2" xfId="3907"/>
    <cellStyle name="Comma 3 10 4 2 2 4" xfId="2905"/>
    <cellStyle name="Comma 3 10 4 2 3" xfId="1154"/>
    <cellStyle name="Comma 3 10 4 2 3 2" xfId="2156"/>
    <cellStyle name="Comma 3 10 4 2 3 2 2" xfId="4160"/>
    <cellStyle name="Comma 3 10 4 2 3 3" xfId="3158"/>
    <cellStyle name="Comma 3 10 4 2 4" xfId="1655"/>
    <cellStyle name="Comma 3 10 4 2 4 2" xfId="3659"/>
    <cellStyle name="Comma 3 10 4 2 5" xfId="2657"/>
    <cellStyle name="Comma 3 10 4 3" xfId="774"/>
    <cellStyle name="Comma 3 10 4 3 2" xfId="1278"/>
    <cellStyle name="Comma 3 10 4 3 2 2" xfId="2280"/>
    <cellStyle name="Comma 3 10 4 3 2 2 2" xfId="4284"/>
    <cellStyle name="Comma 3 10 4 3 2 3" xfId="3282"/>
    <cellStyle name="Comma 3 10 4 3 3" xfId="1779"/>
    <cellStyle name="Comma 3 10 4 3 3 2" xfId="3783"/>
    <cellStyle name="Comma 3 10 4 3 4" xfId="2781"/>
    <cellStyle name="Comma 3 10 4 4" xfId="1030"/>
    <cellStyle name="Comma 3 10 4 4 2" xfId="2032"/>
    <cellStyle name="Comma 3 10 4 4 2 2" xfId="4036"/>
    <cellStyle name="Comma 3 10 4 4 3" xfId="3034"/>
    <cellStyle name="Comma 3 10 4 5" xfId="1531"/>
    <cellStyle name="Comma 3 10 4 5 2" xfId="3535"/>
    <cellStyle name="Comma 3 10 4 6" xfId="2533"/>
    <cellStyle name="Comma 3 10 5" xfId="600"/>
    <cellStyle name="Comma 3 10 5 2" xfId="848"/>
    <cellStyle name="Comma 3 10 5 2 2" xfId="1352"/>
    <cellStyle name="Comma 3 10 5 2 2 2" xfId="2354"/>
    <cellStyle name="Comma 3 10 5 2 2 2 2" xfId="4358"/>
    <cellStyle name="Comma 3 10 5 2 2 3" xfId="3356"/>
    <cellStyle name="Comma 3 10 5 2 3" xfId="1853"/>
    <cellStyle name="Comma 3 10 5 2 3 2" xfId="3857"/>
    <cellStyle name="Comma 3 10 5 2 4" xfId="2855"/>
    <cellStyle name="Comma 3 10 5 3" xfId="1104"/>
    <cellStyle name="Comma 3 10 5 3 2" xfId="2106"/>
    <cellStyle name="Comma 3 10 5 3 2 2" xfId="4110"/>
    <cellStyle name="Comma 3 10 5 3 3" xfId="3108"/>
    <cellStyle name="Comma 3 10 5 4" xfId="1605"/>
    <cellStyle name="Comma 3 10 5 4 2" xfId="3609"/>
    <cellStyle name="Comma 3 10 5 5" xfId="2607"/>
    <cellStyle name="Comma 3 10 6" xfId="724"/>
    <cellStyle name="Comma 3 10 6 2" xfId="1228"/>
    <cellStyle name="Comma 3 10 6 2 2" xfId="2230"/>
    <cellStyle name="Comma 3 10 6 2 2 2" xfId="4234"/>
    <cellStyle name="Comma 3 10 6 2 3" xfId="3232"/>
    <cellStyle name="Comma 3 10 6 3" xfId="1729"/>
    <cellStyle name="Comma 3 10 6 3 2" xfId="3733"/>
    <cellStyle name="Comma 3 10 6 4" xfId="2731"/>
    <cellStyle name="Comma 3 10 7" xfId="980"/>
    <cellStyle name="Comma 3 10 7 2" xfId="1982"/>
    <cellStyle name="Comma 3 10 7 2 2" xfId="3986"/>
    <cellStyle name="Comma 3 10 7 3" xfId="2984"/>
    <cellStyle name="Comma 3 10 8" xfId="1481"/>
    <cellStyle name="Comma 3 10 8 2" xfId="3485"/>
    <cellStyle name="Comma 3 10 9" xfId="2483"/>
    <cellStyle name="Comma 3 11" xfId="475"/>
    <cellStyle name="Comma 3 12" xfId="470"/>
    <cellStyle name="Comma 3 12 2" xfId="529"/>
    <cellStyle name="Comma 3 12 2 2" xfId="653"/>
    <cellStyle name="Comma 3 12 2 2 2" xfId="901"/>
    <cellStyle name="Comma 3 12 2 2 2 2" xfId="1405"/>
    <cellStyle name="Comma 3 12 2 2 2 2 2" xfId="2407"/>
    <cellStyle name="Comma 3 12 2 2 2 2 2 2" xfId="4411"/>
    <cellStyle name="Comma 3 12 2 2 2 2 3" xfId="3409"/>
    <cellStyle name="Comma 3 12 2 2 2 3" xfId="1906"/>
    <cellStyle name="Comma 3 12 2 2 2 3 2" xfId="3910"/>
    <cellStyle name="Comma 3 12 2 2 2 4" xfId="2908"/>
    <cellStyle name="Comma 3 12 2 2 3" xfId="1157"/>
    <cellStyle name="Comma 3 12 2 2 3 2" xfId="2159"/>
    <cellStyle name="Comma 3 12 2 2 3 2 2" xfId="4163"/>
    <cellStyle name="Comma 3 12 2 2 3 3" xfId="3161"/>
    <cellStyle name="Comma 3 12 2 2 4" xfId="1658"/>
    <cellStyle name="Comma 3 12 2 2 4 2" xfId="3662"/>
    <cellStyle name="Comma 3 12 2 2 5" xfId="2660"/>
    <cellStyle name="Comma 3 12 2 3" xfId="777"/>
    <cellStyle name="Comma 3 12 2 3 2" xfId="1281"/>
    <cellStyle name="Comma 3 12 2 3 2 2" xfId="2283"/>
    <cellStyle name="Comma 3 12 2 3 2 2 2" xfId="4287"/>
    <cellStyle name="Comma 3 12 2 3 2 3" xfId="3285"/>
    <cellStyle name="Comma 3 12 2 3 3" xfId="1782"/>
    <cellStyle name="Comma 3 12 2 3 3 2" xfId="3786"/>
    <cellStyle name="Comma 3 12 2 3 4" xfId="2784"/>
    <cellStyle name="Comma 3 12 2 4" xfId="1033"/>
    <cellStyle name="Comma 3 12 2 4 2" xfId="2035"/>
    <cellStyle name="Comma 3 12 2 4 2 2" xfId="4039"/>
    <cellStyle name="Comma 3 12 2 4 3" xfId="3037"/>
    <cellStyle name="Comma 3 12 2 5" xfId="1534"/>
    <cellStyle name="Comma 3 12 2 5 2" xfId="3538"/>
    <cellStyle name="Comma 3 12 2 6" xfId="2536"/>
    <cellStyle name="Comma 3 12 3" xfId="602"/>
    <cellStyle name="Comma 3 12 3 2" xfId="850"/>
    <cellStyle name="Comma 3 12 3 2 2" xfId="1354"/>
    <cellStyle name="Comma 3 12 3 2 2 2" xfId="2356"/>
    <cellStyle name="Comma 3 12 3 2 2 2 2" xfId="4360"/>
    <cellStyle name="Comma 3 12 3 2 2 3" xfId="3358"/>
    <cellStyle name="Comma 3 12 3 2 3" xfId="1855"/>
    <cellStyle name="Comma 3 12 3 2 3 2" xfId="3859"/>
    <cellStyle name="Comma 3 12 3 2 4" xfId="2857"/>
    <cellStyle name="Comma 3 12 3 3" xfId="1106"/>
    <cellStyle name="Comma 3 12 3 3 2" xfId="2108"/>
    <cellStyle name="Comma 3 12 3 3 2 2" xfId="4112"/>
    <cellStyle name="Comma 3 12 3 3 3" xfId="3110"/>
    <cellStyle name="Comma 3 12 3 4" xfId="1607"/>
    <cellStyle name="Comma 3 12 3 4 2" xfId="3611"/>
    <cellStyle name="Comma 3 12 3 5" xfId="2609"/>
    <cellStyle name="Comma 3 12 4" xfId="726"/>
    <cellStyle name="Comma 3 12 4 2" xfId="1230"/>
    <cellStyle name="Comma 3 12 4 2 2" xfId="2232"/>
    <cellStyle name="Comma 3 12 4 2 2 2" xfId="4236"/>
    <cellStyle name="Comma 3 12 4 2 3" xfId="3234"/>
    <cellStyle name="Comma 3 12 4 3" xfId="1731"/>
    <cellStyle name="Comma 3 12 4 3 2" xfId="3735"/>
    <cellStyle name="Comma 3 12 4 4" xfId="2733"/>
    <cellStyle name="Comma 3 12 5" xfId="982"/>
    <cellStyle name="Comma 3 12 5 2" xfId="1984"/>
    <cellStyle name="Comma 3 12 5 2 2" xfId="3988"/>
    <cellStyle name="Comma 3 12 5 3" xfId="2986"/>
    <cellStyle name="Comma 3 12 6" xfId="1483"/>
    <cellStyle name="Comma 3 12 6 2" xfId="3487"/>
    <cellStyle name="Comma 3 12 7" xfId="2485"/>
    <cellStyle name="Comma 3 13" xfId="954"/>
    <cellStyle name="Comma 3 13 2" xfId="1458"/>
    <cellStyle name="Comma 3 13 2 2" xfId="2460"/>
    <cellStyle name="Comma 3 13 2 2 2" xfId="4464"/>
    <cellStyle name="Comma 3 13 2 3" xfId="3462"/>
    <cellStyle name="Comma 3 13 3" xfId="1959"/>
    <cellStyle name="Comma 3 13 3 2" xfId="3963"/>
    <cellStyle name="Comma 3 13 4" xfId="2961"/>
    <cellStyle name="Comma 3 2" xfId="199"/>
    <cellStyle name="Comma 3 3" xfId="200"/>
    <cellStyle name="Comma 3 4" xfId="452"/>
    <cellStyle name="Comma 3 4 2" xfId="486"/>
    <cellStyle name="Comma 3 4 2 2" xfId="531"/>
    <cellStyle name="Comma 3 4 2 2 2" xfId="655"/>
    <cellStyle name="Comma 3 4 2 2 2 2" xfId="903"/>
    <cellStyle name="Comma 3 4 2 2 2 2 2" xfId="1407"/>
    <cellStyle name="Comma 3 4 2 2 2 2 2 2" xfId="2409"/>
    <cellStyle name="Comma 3 4 2 2 2 2 2 2 2" xfId="4413"/>
    <cellStyle name="Comma 3 4 2 2 2 2 2 3" xfId="3411"/>
    <cellStyle name="Comma 3 4 2 2 2 2 3" xfId="1908"/>
    <cellStyle name="Comma 3 4 2 2 2 2 3 2" xfId="3912"/>
    <cellStyle name="Comma 3 4 2 2 2 2 4" xfId="2910"/>
    <cellStyle name="Comma 3 4 2 2 2 3" xfId="1159"/>
    <cellStyle name="Comma 3 4 2 2 2 3 2" xfId="2161"/>
    <cellStyle name="Comma 3 4 2 2 2 3 2 2" xfId="4165"/>
    <cellStyle name="Comma 3 4 2 2 2 3 3" xfId="3163"/>
    <cellStyle name="Comma 3 4 2 2 2 4" xfId="1660"/>
    <cellStyle name="Comma 3 4 2 2 2 4 2" xfId="3664"/>
    <cellStyle name="Comma 3 4 2 2 2 5" xfId="2662"/>
    <cellStyle name="Comma 3 4 2 2 3" xfId="779"/>
    <cellStyle name="Comma 3 4 2 2 3 2" xfId="1283"/>
    <cellStyle name="Comma 3 4 2 2 3 2 2" xfId="2285"/>
    <cellStyle name="Comma 3 4 2 2 3 2 2 2" xfId="4289"/>
    <cellStyle name="Comma 3 4 2 2 3 2 3" xfId="3287"/>
    <cellStyle name="Comma 3 4 2 2 3 3" xfId="1784"/>
    <cellStyle name="Comma 3 4 2 2 3 3 2" xfId="3788"/>
    <cellStyle name="Comma 3 4 2 2 3 4" xfId="2786"/>
    <cellStyle name="Comma 3 4 2 2 4" xfId="1035"/>
    <cellStyle name="Comma 3 4 2 2 4 2" xfId="2037"/>
    <cellStyle name="Comma 3 4 2 2 4 2 2" xfId="4041"/>
    <cellStyle name="Comma 3 4 2 2 4 3" xfId="3039"/>
    <cellStyle name="Comma 3 4 2 2 5" xfId="1536"/>
    <cellStyle name="Comma 3 4 2 2 5 2" xfId="3540"/>
    <cellStyle name="Comma 3 4 2 2 6" xfId="2538"/>
    <cellStyle name="Comma 3 4 2 3" xfId="610"/>
    <cellStyle name="Comma 3 4 2 3 2" xfId="858"/>
    <cellStyle name="Comma 3 4 2 3 2 2" xfId="1362"/>
    <cellStyle name="Comma 3 4 2 3 2 2 2" xfId="2364"/>
    <cellStyle name="Comma 3 4 2 3 2 2 2 2" xfId="4368"/>
    <cellStyle name="Comma 3 4 2 3 2 2 3" xfId="3366"/>
    <cellStyle name="Comma 3 4 2 3 2 3" xfId="1863"/>
    <cellStyle name="Comma 3 4 2 3 2 3 2" xfId="3867"/>
    <cellStyle name="Comma 3 4 2 3 2 4" xfId="2865"/>
    <cellStyle name="Comma 3 4 2 3 3" xfId="1114"/>
    <cellStyle name="Comma 3 4 2 3 3 2" xfId="2116"/>
    <cellStyle name="Comma 3 4 2 3 3 2 2" xfId="4120"/>
    <cellStyle name="Comma 3 4 2 3 3 3" xfId="3118"/>
    <cellStyle name="Comma 3 4 2 3 4" xfId="1615"/>
    <cellStyle name="Comma 3 4 2 3 4 2" xfId="3619"/>
    <cellStyle name="Comma 3 4 2 3 5" xfId="2617"/>
    <cellStyle name="Comma 3 4 2 4" xfId="734"/>
    <cellStyle name="Comma 3 4 2 4 2" xfId="1238"/>
    <cellStyle name="Comma 3 4 2 4 2 2" xfId="2240"/>
    <cellStyle name="Comma 3 4 2 4 2 2 2" xfId="4244"/>
    <cellStyle name="Comma 3 4 2 4 2 3" xfId="3242"/>
    <cellStyle name="Comma 3 4 2 4 3" xfId="1739"/>
    <cellStyle name="Comma 3 4 2 4 3 2" xfId="3743"/>
    <cellStyle name="Comma 3 4 2 4 4" xfId="2741"/>
    <cellStyle name="Comma 3 4 2 5" xfId="990"/>
    <cellStyle name="Comma 3 4 2 5 2" xfId="1992"/>
    <cellStyle name="Comma 3 4 2 5 2 2" xfId="3996"/>
    <cellStyle name="Comma 3 4 2 5 3" xfId="2994"/>
    <cellStyle name="Comma 3 4 2 6" xfId="1491"/>
    <cellStyle name="Comma 3 4 2 6 2" xfId="3495"/>
    <cellStyle name="Comma 3 4 2 7" xfId="2493"/>
    <cellStyle name="Comma 3 4 3" xfId="506"/>
    <cellStyle name="Comma 3 4 3 2" xfId="532"/>
    <cellStyle name="Comma 3 4 3 2 2" xfId="656"/>
    <cellStyle name="Comma 3 4 3 2 2 2" xfId="904"/>
    <cellStyle name="Comma 3 4 3 2 2 2 2" xfId="1408"/>
    <cellStyle name="Comma 3 4 3 2 2 2 2 2" xfId="2410"/>
    <cellStyle name="Comma 3 4 3 2 2 2 2 2 2" xfId="4414"/>
    <cellStyle name="Comma 3 4 3 2 2 2 2 3" xfId="3412"/>
    <cellStyle name="Comma 3 4 3 2 2 2 3" xfId="1909"/>
    <cellStyle name="Comma 3 4 3 2 2 2 3 2" xfId="3913"/>
    <cellStyle name="Comma 3 4 3 2 2 2 4" xfId="2911"/>
    <cellStyle name="Comma 3 4 3 2 2 3" xfId="1160"/>
    <cellStyle name="Comma 3 4 3 2 2 3 2" xfId="2162"/>
    <cellStyle name="Comma 3 4 3 2 2 3 2 2" xfId="4166"/>
    <cellStyle name="Comma 3 4 3 2 2 3 3" xfId="3164"/>
    <cellStyle name="Comma 3 4 3 2 2 4" xfId="1661"/>
    <cellStyle name="Comma 3 4 3 2 2 4 2" xfId="3665"/>
    <cellStyle name="Comma 3 4 3 2 2 5" xfId="2663"/>
    <cellStyle name="Comma 3 4 3 2 3" xfId="780"/>
    <cellStyle name="Comma 3 4 3 2 3 2" xfId="1284"/>
    <cellStyle name="Comma 3 4 3 2 3 2 2" xfId="2286"/>
    <cellStyle name="Comma 3 4 3 2 3 2 2 2" xfId="4290"/>
    <cellStyle name="Comma 3 4 3 2 3 2 3" xfId="3288"/>
    <cellStyle name="Comma 3 4 3 2 3 3" xfId="1785"/>
    <cellStyle name="Comma 3 4 3 2 3 3 2" xfId="3789"/>
    <cellStyle name="Comma 3 4 3 2 3 4" xfId="2787"/>
    <cellStyle name="Comma 3 4 3 2 4" xfId="1036"/>
    <cellStyle name="Comma 3 4 3 2 4 2" xfId="2038"/>
    <cellStyle name="Comma 3 4 3 2 4 2 2" xfId="4042"/>
    <cellStyle name="Comma 3 4 3 2 4 3" xfId="3040"/>
    <cellStyle name="Comma 3 4 3 2 5" xfId="1537"/>
    <cellStyle name="Comma 3 4 3 2 5 2" xfId="3541"/>
    <cellStyle name="Comma 3 4 3 2 6" xfId="2539"/>
    <cellStyle name="Comma 3 4 3 3" xfId="630"/>
    <cellStyle name="Comma 3 4 3 3 2" xfId="878"/>
    <cellStyle name="Comma 3 4 3 3 2 2" xfId="1382"/>
    <cellStyle name="Comma 3 4 3 3 2 2 2" xfId="2384"/>
    <cellStyle name="Comma 3 4 3 3 2 2 2 2" xfId="4388"/>
    <cellStyle name="Comma 3 4 3 3 2 2 3" xfId="3386"/>
    <cellStyle name="Comma 3 4 3 3 2 3" xfId="1883"/>
    <cellStyle name="Comma 3 4 3 3 2 3 2" xfId="3887"/>
    <cellStyle name="Comma 3 4 3 3 2 4" xfId="2885"/>
    <cellStyle name="Comma 3 4 3 3 3" xfId="1134"/>
    <cellStyle name="Comma 3 4 3 3 3 2" xfId="2136"/>
    <cellStyle name="Comma 3 4 3 3 3 2 2" xfId="4140"/>
    <cellStyle name="Comma 3 4 3 3 3 3" xfId="3138"/>
    <cellStyle name="Comma 3 4 3 3 4" xfId="1635"/>
    <cellStyle name="Comma 3 4 3 3 4 2" xfId="3639"/>
    <cellStyle name="Comma 3 4 3 3 5" xfId="2637"/>
    <cellStyle name="Comma 3 4 3 4" xfId="754"/>
    <cellStyle name="Comma 3 4 3 4 2" xfId="1258"/>
    <cellStyle name="Comma 3 4 3 4 2 2" xfId="2260"/>
    <cellStyle name="Comma 3 4 3 4 2 2 2" xfId="4264"/>
    <cellStyle name="Comma 3 4 3 4 2 3" xfId="3262"/>
    <cellStyle name="Comma 3 4 3 4 3" xfId="1759"/>
    <cellStyle name="Comma 3 4 3 4 3 2" xfId="3763"/>
    <cellStyle name="Comma 3 4 3 4 4" xfId="2761"/>
    <cellStyle name="Comma 3 4 3 5" xfId="1010"/>
    <cellStyle name="Comma 3 4 3 5 2" xfId="2012"/>
    <cellStyle name="Comma 3 4 3 5 2 2" xfId="4016"/>
    <cellStyle name="Comma 3 4 3 5 3" xfId="3014"/>
    <cellStyle name="Comma 3 4 3 6" xfId="1511"/>
    <cellStyle name="Comma 3 4 3 6 2" xfId="3515"/>
    <cellStyle name="Comma 3 4 3 7" xfId="2513"/>
    <cellStyle name="Comma 3 4 4" xfId="530"/>
    <cellStyle name="Comma 3 4 4 2" xfId="654"/>
    <cellStyle name="Comma 3 4 4 2 2" xfId="902"/>
    <cellStyle name="Comma 3 4 4 2 2 2" xfId="1406"/>
    <cellStyle name="Comma 3 4 4 2 2 2 2" xfId="2408"/>
    <cellStyle name="Comma 3 4 4 2 2 2 2 2" xfId="4412"/>
    <cellStyle name="Comma 3 4 4 2 2 2 3" xfId="3410"/>
    <cellStyle name="Comma 3 4 4 2 2 3" xfId="1907"/>
    <cellStyle name="Comma 3 4 4 2 2 3 2" xfId="3911"/>
    <cellStyle name="Comma 3 4 4 2 2 4" xfId="2909"/>
    <cellStyle name="Comma 3 4 4 2 3" xfId="1158"/>
    <cellStyle name="Comma 3 4 4 2 3 2" xfId="2160"/>
    <cellStyle name="Comma 3 4 4 2 3 2 2" xfId="4164"/>
    <cellStyle name="Comma 3 4 4 2 3 3" xfId="3162"/>
    <cellStyle name="Comma 3 4 4 2 4" xfId="1659"/>
    <cellStyle name="Comma 3 4 4 2 4 2" xfId="3663"/>
    <cellStyle name="Comma 3 4 4 2 5" xfId="2661"/>
    <cellStyle name="Comma 3 4 4 3" xfId="778"/>
    <cellStyle name="Comma 3 4 4 3 2" xfId="1282"/>
    <cellStyle name="Comma 3 4 4 3 2 2" xfId="2284"/>
    <cellStyle name="Comma 3 4 4 3 2 2 2" xfId="4288"/>
    <cellStyle name="Comma 3 4 4 3 2 3" xfId="3286"/>
    <cellStyle name="Comma 3 4 4 3 3" xfId="1783"/>
    <cellStyle name="Comma 3 4 4 3 3 2" xfId="3787"/>
    <cellStyle name="Comma 3 4 4 3 4" xfId="2785"/>
    <cellStyle name="Comma 3 4 4 4" xfId="1034"/>
    <cellStyle name="Comma 3 4 4 4 2" xfId="2036"/>
    <cellStyle name="Comma 3 4 4 4 2 2" xfId="4040"/>
    <cellStyle name="Comma 3 4 4 4 3" xfId="3038"/>
    <cellStyle name="Comma 3 4 4 5" xfId="1535"/>
    <cellStyle name="Comma 3 4 4 5 2" xfId="3539"/>
    <cellStyle name="Comma 3 4 4 6" xfId="2537"/>
    <cellStyle name="Comma 3 4 5" xfId="588"/>
    <cellStyle name="Comma 3 4 5 2" xfId="836"/>
    <cellStyle name="Comma 3 4 5 2 2" xfId="1340"/>
    <cellStyle name="Comma 3 4 5 2 2 2" xfId="2342"/>
    <cellStyle name="Comma 3 4 5 2 2 2 2" xfId="4346"/>
    <cellStyle name="Comma 3 4 5 2 2 3" xfId="3344"/>
    <cellStyle name="Comma 3 4 5 2 3" xfId="1841"/>
    <cellStyle name="Comma 3 4 5 2 3 2" xfId="3845"/>
    <cellStyle name="Comma 3 4 5 2 4" xfId="2843"/>
    <cellStyle name="Comma 3 4 5 3" xfId="1092"/>
    <cellStyle name="Comma 3 4 5 3 2" xfId="2094"/>
    <cellStyle name="Comma 3 4 5 3 2 2" xfId="4098"/>
    <cellStyle name="Comma 3 4 5 3 3" xfId="3096"/>
    <cellStyle name="Comma 3 4 5 4" xfId="1593"/>
    <cellStyle name="Comma 3 4 5 4 2" xfId="3597"/>
    <cellStyle name="Comma 3 4 5 5" xfId="2595"/>
    <cellStyle name="Comma 3 4 6" xfId="712"/>
    <cellStyle name="Comma 3 4 6 2" xfId="1216"/>
    <cellStyle name="Comma 3 4 6 2 2" xfId="2218"/>
    <cellStyle name="Comma 3 4 6 2 2 2" xfId="4222"/>
    <cellStyle name="Comma 3 4 6 2 3" xfId="3220"/>
    <cellStyle name="Comma 3 4 6 3" xfId="1717"/>
    <cellStyle name="Comma 3 4 6 3 2" xfId="3721"/>
    <cellStyle name="Comma 3 4 6 4" xfId="2719"/>
    <cellStyle name="Comma 3 4 7" xfId="968"/>
    <cellStyle name="Comma 3 4 7 2" xfId="1970"/>
    <cellStyle name="Comma 3 4 7 2 2" xfId="3974"/>
    <cellStyle name="Comma 3 4 7 3" xfId="2972"/>
    <cellStyle name="Comma 3 4 8" xfId="1469"/>
    <cellStyle name="Comma 3 4 8 2" xfId="3473"/>
    <cellStyle name="Comma 3 4 9" xfId="2471"/>
    <cellStyle name="Comma 3 5" xfId="458"/>
    <cellStyle name="Comma 3 5 2" xfId="488"/>
    <cellStyle name="Comma 3 5 2 2" xfId="534"/>
    <cellStyle name="Comma 3 5 2 2 2" xfId="658"/>
    <cellStyle name="Comma 3 5 2 2 2 2" xfId="906"/>
    <cellStyle name="Comma 3 5 2 2 2 2 2" xfId="1410"/>
    <cellStyle name="Comma 3 5 2 2 2 2 2 2" xfId="2412"/>
    <cellStyle name="Comma 3 5 2 2 2 2 2 2 2" xfId="4416"/>
    <cellStyle name="Comma 3 5 2 2 2 2 2 3" xfId="3414"/>
    <cellStyle name="Comma 3 5 2 2 2 2 3" xfId="1911"/>
    <cellStyle name="Comma 3 5 2 2 2 2 3 2" xfId="3915"/>
    <cellStyle name="Comma 3 5 2 2 2 2 4" xfId="2913"/>
    <cellStyle name="Comma 3 5 2 2 2 3" xfId="1162"/>
    <cellStyle name="Comma 3 5 2 2 2 3 2" xfId="2164"/>
    <cellStyle name="Comma 3 5 2 2 2 3 2 2" xfId="4168"/>
    <cellStyle name="Comma 3 5 2 2 2 3 3" xfId="3166"/>
    <cellStyle name="Comma 3 5 2 2 2 4" xfId="1663"/>
    <cellStyle name="Comma 3 5 2 2 2 4 2" xfId="3667"/>
    <cellStyle name="Comma 3 5 2 2 2 5" xfId="2665"/>
    <cellStyle name="Comma 3 5 2 2 3" xfId="782"/>
    <cellStyle name="Comma 3 5 2 2 3 2" xfId="1286"/>
    <cellStyle name="Comma 3 5 2 2 3 2 2" xfId="2288"/>
    <cellStyle name="Comma 3 5 2 2 3 2 2 2" xfId="4292"/>
    <cellStyle name="Comma 3 5 2 2 3 2 3" xfId="3290"/>
    <cellStyle name="Comma 3 5 2 2 3 3" xfId="1787"/>
    <cellStyle name="Comma 3 5 2 2 3 3 2" xfId="3791"/>
    <cellStyle name="Comma 3 5 2 2 3 4" xfId="2789"/>
    <cellStyle name="Comma 3 5 2 2 4" xfId="1038"/>
    <cellStyle name="Comma 3 5 2 2 4 2" xfId="2040"/>
    <cellStyle name="Comma 3 5 2 2 4 2 2" xfId="4044"/>
    <cellStyle name="Comma 3 5 2 2 4 3" xfId="3042"/>
    <cellStyle name="Comma 3 5 2 2 5" xfId="1539"/>
    <cellStyle name="Comma 3 5 2 2 5 2" xfId="3543"/>
    <cellStyle name="Comma 3 5 2 2 6" xfId="2541"/>
    <cellStyle name="Comma 3 5 2 3" xfId="612"/>
    <cellStyle name="Comma 3 5 2 3 2" xfId="860"/>
    <cellStyle name="Comma 3 5 2 3 2 2" xfId="1364"/>
    <cellStyle name="Comma 3 5 2 3 2 2 2" xfId="2366"/>
    <cellStyle name="Comma 3 5 2 3 2 2 2 2" xfId="4370"/>
    <cellStyle name="Comma 3 5 2 3 2 2 3" xfId="3368"/>
    <cellStyle name="Comma 3 5 2 3 2 3" xfId="1865"/>
    <cellStyle name="Comma 3 5 2 3 2 3 2" xfId="3869"/>
    <cellStyle name="Comma 3 5 2 3 2 4" xfId="2867"/>
    <cellStyle name="Comma 3 5 2 3 3" xfId="1116"/>
    <cellStyle name="Comma 3 5 2 3 3 2" xfId="2118"/>
    <cellStyle name="Comma 3 5 2 3 3 2 2" xfId="4122"/>
    <cellStyle name="Comma 3 5 2 3 3 3" xfId="3120"/>
    <cellStyle name="Comma 3 5 2 3 4" xfId="1617"/>
    <cellStyle name="Comma 3 5 2 3 4 2" xfId="3621"/>
    <cellStyle name="Comma 3 5 2 3 5" xfId="2619"/>
    <cellStyle name="Comma 3 5 2 4" xfId="736"/>
    <cellStyle name="Comma 3 5 2 4 2" xfId="1240"/>
    <cellStyle name="Comma 3 5 2 4 2 2" xfId="2242"/>
    <cellStyle name="Comma 3 5 2 4 2 2 2" xfId="4246"/>
    <cellStyle name="Comma 3 5 2 4 2 3" xfId="3244"/>
    <cellStyle name="Comma 3 5 2 4 3" xfId="1741"/>
    <cellStyle name="Comma 3 5 2 4 3 2" xfId="3745"/>
    <cellStyle name="Comma 3 5 2 4 4" xfId="2743"/>
    <cellStyle name="Comma 3 5 2 5" xfId="992"/>
    <cellStyle name="Comma 3 5 2 5 2" xfId="1994"/>
    <cellStyle name="Comma 3 5 2 5 2 2" xfId="3998"/>
    <cellStyle name="Comma 3 5 2 5 3" xfId="2996"/>
    <cellStyle name="Comma 3 5 2 6" xfId="1493"/>
    <cellStyle name="Comma 3 5 2 6 2" xfId="3497"/>
    <cellStyle name="Comma 3 5 2 7" xfId="2495"/>
    <cellStyle name="Comma 3 5 3" xfId="508"/>
    <cellStyle name="Comma 3 5 3 2" xfId="535"/>
    <cellStyle name="Comma 3 5 3 2 2" xfId="659"/>
    <cellStyle name="Comma 3 5 3 2 2 2" xfId="907"/>
    <cellStyle name="Comma 3 5 3 2 2 2 2" xfId="1411"/>
    <cellStyle name="Comma 3 5 3 2 2 2 2 2" xfId="2413"/>
    <cellStyle name="Comma 3 5 3 2 2 2 2 2 2" xfId="4417"/>
    <cellStyle name="Comma 3 5 3 2 2 2 2 3" xfId="3415"/>
    <cellStyle name="Comma 3 5 3 2 2 2 3" xfId="1912"/>
    <cellStyle name="Comma 3 5 3 2 2 2 3 2" xfId="3916"/>
    <cellStyle name="Comma 3 5 3 2 2 2 4" xfId="2914"/>
    <cellStyle name="Comma 3 5 3 2 2 3" xfId="1163"/>
    <cellStyle name="Comma 3 5 3 2 2 3 2" xfId="2165"/>
    <cellStyle name="Comma 3 5 3 2 2 3 2 2" xfId="4169"/>
    <cellStyle name="Comma 3 5 3 2 2 3 3" xfId="3167"/>
    <cellStyle name="Comma 3 5 3 2 2 4" xfId="1664"/>
    <cellStyle name="Comma 3 5 3 2 2 4 2" xfId="3668"/>
    <cellStyle name="Comma 3 5 3 2 2 5" xfId="2666"/>
    <cellStyle name="Comma 3 5 3 2 3" xfId="783"/>
    <cellStyle name="Comma 3 5 3 2 3 2" xfId="1287"/>
    <cellStyle name="Comma 3 5 3 2 3 2 2" xfId="2289"/>
    <cellStyle name="Comma 3 5 3 2 3 2 2 2" xfId="4293"/>
    <cellStyle name="Comma 3 5 3 2 3 2 3" xfId="3291"/>
    <cellStyle name="Comma 3 5 3 2 3 3" xfId="1788"/>
    <cellStyle name="Comma 3 5 3 2 3 3 2" xfId="3792"/>
    <cellStyle name="Comma 3 5 3 2 3 4" xfId="2790"/>
    <cellStyle name="Comma 3 5 3 2 4" xfId="1039"/>
    <cellStyle name="Comma 3 5 3 2 4 2" xfId="2041"/>
    <cellStyle name="Comma 3 5 3 2 4 2 2" xfId="4045"/>
    <cellStyle name="Comma 3 5 3 2 4 3" xfId="3043"/>
    <cellStyle name="Comma 3 5 3 2 5" xfId="1540"/>
    <cellStyle name="Comma 3 5 3 2 5 2" xfId="3544"/>
    <cellStyle name="Comma 3 5 3 2 6" xfId="2542"/>
    <cellStyle name="Comma 3 5 3 3" xfId="632"/>
    <cellStyle name="Comma 3 5 3 3 2" xfId="880"/>
    <cellStyle name="Comma 3 5 3 3 2 2" xfId="1384"/>
    <cellStyle name="Comma 3 5 3 3 2 2 2" xfId="2386"/>
    <cellStyle name="Comma 3 5 3 3 2 2 2 2" xfId="4390"/>
    <cellStyle name="Comma 3 5 3 3 2 2 3" xfId="3388"/>
    <cellStyle name="Comma 3 5 3 3 2 3" xfId="1885"/>
    <cellStyle name="Comma 3 5 3 3 2 3 2" xfId="3889"/>
    <cellStyle name="Comma 3 5 3 3 2 4" xfId="2887"/>
    <cellStyle name="Comma 3 5 3 3 3" xfId="1136"/>
    <cellStyle name="Comma 3 5 3 3 3 2" xfId="2138"/>
    <cellStyle name="Comma 3 5 3 3 3 2 2" xfId="4142"/>
    <cellStyle name="Comma 3 5 3 3 3 3" xfId="3140"/>
    <cellStyle name="Comma 3 5 3 3 4" xfId="1637"/>
    <cellStyle name="Comma 3 5 3 3 4 2" xfId="3641"/>
    <cellStyle name="Comma 3 5 3 3 5" xfId="2639"/>
    <cellStyle name="Comma 3 5 3 4" xfId="756"/>
    <cellStyle name="Comma 3 5 3 4 2" xfId="1260"/>
    <cellStyle name="Comma 3 5 3 4 2 2" xfId="2262"/>
    <cellStyle name="Comma 3 5 3 4 2 2 2" xfId="4266"/>
    <cellStyle name="Comma 3 5 3 4 2 3" xfId="3264"/>
    <cellStyle name="Comma 3 5 3 4 3" xfId="1761"/>
    <cellStyle name="Comma 3 5 3 4 3 2" xfId="3765"/>
    <cellStyle name="Comma 3 5 3 4 4" xfId="2763"/>
    <cellStyle name="Comma 3 5 3 5" xfId="1012"/>
    <cellStyle name="Comma 3 5 3 5 2" xfId="2014"/>
    <cellStyle name="Comma 3 5 3 5 2 2" xfId="4018"/>
    <cellStyle name="Comma 3 5 3 5 3" xfId="3016"/>
    <cellStyle name="Comma 3 5 3 6" xfId="1513"/>
    <cellStyle name="Comma 3 5 3 6 2" xfId="3517"/>
    <cellStyle name="Comma 3 5 3 7" xfId="2515"/>
    <cellStyle name="Comma 3 5 4" xfId="533"/>
    <cellStyle name="Comma 3 5 4 2" xfId="657"/>
    <cellStyle name="Comma 3 5 4 2 2" xfId="905"/>
    <cellStyle name="Comma 3 5 4 2 2 2" xfId="1409"/>
    <cellStyle name="Comma 3 5 4 2 2 2 2" xfId="2411"/>
    <cellStyle name="Comma 3 5 4 2 2 2 2 2" xfId="4415"/>
    <cellStyle name="Comma 3 5 4 2 2 2 3" xfId="3413"/>
    <cellStyle name="Comma 3 5 4 2 2 3" xfId="1910"/>
    <cellStyle name="Comma 3 5 4 2 2 3 2" xfId="3914"/>
    <cellStyle name="Comma 3 5 4 2 2 4" xfId="2912"/>
    <cellStyle name="Comma 3 5 4 2 3" xfId="1161"/>
    <cellStyle name="Comma 3 5 4 2 3 2" xfId="2163"/>
    <cellStyle name="Comma 3 5 4 2 3 2 2" xfId="4167"/>
    <cellStyle name="Comma 3 5 4 2 3 3" xfId="3165"/>
    <cellStyle name="Comma 3 5 4 2 4" xfId="1662"/>
    <cellStyle name="Comma 3 5 4 2 4 2" xfId="3666"/>
    <cellStyle name="Comma 3 5 4 2 5" xfId="2664"/>
    <cellStyle name="Comma 3 5 4 3" xfId="781"/>
    <cellStyle name="Comma 3 5 4 3 2" xfId="1285"/>
    <cellStyle name="Comma 3 5 4 3 2 2" xfId="2287"/>
    <cellStyle name="Comma 3 5 4 3 2 2 2" xfId="4291"/>
    <cellStyle name="Comma 3 5 4 3 2 3" xfId="3289"/>
    <cellStyle name="Comma 3 5 4 3 3" xfId="1786"/>
    <cellStyle name="Comma 3 5 4 3 3 2" xfId="3790"/>
    <cellStyle name="Comma 3 5 4 3 4" xfId="2788"/>
    <cellStyle name="Comma 3 5 4 4" xfId="1037"/>
    <cellStyle name="Comma 3 5 4 4 2" xfId="2039"/>
    <cellStyle name="Comma 3 5 4 4 2 2" xfId="4043"/>
    <cellStyle name="Comma 3 5 4 4 3" xfId="3041"/>
    <cellStyle name="Comma 3 5 4 5" xfId="1538"/>
    <cellStyle name="Comma 3 5 4 5 2" xfId="3542"/>
    <cellStyle name="Comma 3 5 4 6" xfId="2540"/>
    <cellStyle name="Comma 3 5 5" xfId="590"/>
    <cellStyle name="Comma 3 5 5 2" xfId="838"/>
    <cellStyle name="Comma 3 5 5 2 2" xfId="1342"/>
    <cellStyle name="Comma 3 5 5 2 2 2" xfId="2344"/>
    <cellStyle name="Comma 3 5 5 2 2 2 2" xfId="4348"/>
    <cellStyle name="Comma 3 5 5 2 2 3" xfId="3346"/>
    <cellStyle name="Comma 3 5 5 2 3" xfId="1843"/>
    <cellStyle name="Comma 3 5 5 2 3 2" xfId="3847"/>
    <cellStyle name="Comma 3 5 5 2 4" xfId="2845"/>
    <cellStyle name="Comma 3 5 5 3" xfId="1094"/>
    <cellStyle name="Comma 3 5 5 3 2" xfId="2096"/>
    <cellStyle name="Comma 3 5 5 3 2 2" xfId="4100"/>
    <cellStyle name="Comma 3 5 5 3 3" xfId="3098"/>
    <cellStyle name="Comma 3 5 5 4" xfId="1595"/>
    <cellStyle name="Comma 3 5 5 4 2" xfId="3599"/>
    <cellStyle name="Comma 3 5 5 5" xfId="2597"/>
    <cellStyle name="Comma 3 5 6" xfId="714"/>
    <cellStyle name="Comma 3 5 6 2" xfId="1218"/>
    <cellStyle name="Comma 3 5 6 2 2" xfId="2220"/>
    <cellStyle name="Comma 3 5 6 2 2 2" xfId="4224"/>
    <cellStyle name="Comma 3 5 6 2 3" xfId="3222"/>
    <cellStyle name="Comma 3 5 6 3" xfId="1719"/>
    <cellStyle name="Comma 3 5 6 3 2" xfId="3723"/>
    <cellStyle name="Comma 3 5 6 4" xfId="2721"/>
    <cellStyle name="Comma 3 5 7" xfId="970"/>
    <cellStyle name="Comma 3 5 7 2" xfId="1972"/>
    <cellStyle name="Comma 3 5 7 2 2" xfId="3976"/>
    <cellStyle name="Comma 3 5 7 3" xfId="2974"/>
    <cellStyle name="Comma 3 5 8" xfId="1471"/>
    <cellStyle name="Comma 3 5 8 2" xfId="3475"/>
    <cellStyle name="Comma 3 5 9" xfId="2473"/>
    <cellStyle name="Comma 3 6" xfId="460"/>
    <cellStyle name="Comma 3 6 2" xfId="490"/>
    <cellStyle name="Comma 3 6 2 2" xfId="537"/>
    <cellStyle name="Comma 3 6 2 2 2" xfId="661"/>
    <cellStyle name="Comma 3 6 2 2 2 2" xfId="909"/>
    <cellStyle name="Comma 3 6 2 2 2 2 2" xfId="1413"/>
    <cellStyle name="Comma 3 6 2 2 2 2 2 2" xfId="2415"/>
    <cellStyle name="Comma 3 6 2 2 2 2 2 2 2" xfId="4419"/>
    <cellStyle name="Comma 3 6 2 2 2 2 2 3" xfId="3417"/>
    <cellStyle name="Comma 3 6 2 2 2 2 3" xfId="1914"/>
    <cellStyle name="Comma 3 6 2 2 2 2 3 2" xfId="3918"/>
    <cellStyle name="Comma 3 6 2 2 2 2 4" xfId="2916"/>
    <cellStyle name="Comma 3 6 2 2 2 3" xfId="1165"/>
    <cellStyle name="Comma 3 6 2 2 2 3 2" xfId="2167"/>
    <cellStyle name="Comma 3 6 2 2 2 3 2 2" xfId="4171"/>
    <cellStyle name="Comma 3 6 2 2 2 3 3" xfId="3169"/>
    <cellStyle name="Comma 3 6 2 2 2 4" xfId="1666"/>
    <cellStyle name="Comma 3 6 2 2 2 4 2" xfId="3670"/>
    <cellStyle name="Comma 3 6 2 2 2 5" xfId="2668"/>
    <cellStyle name="Comma 3 6 2 2 3" xfId="785"/>
    <cellStyle name="Comma 3 6 2 2 3 2" xfId="1289"/>
    <cellStyle name="Comma 3 6 2 2 3 2 2" xfId="2291"/>
    <cellStyle name="Comma 3 6 2 2 3 2 2 2" xfId="4295"/>
    <cellStyle name="Comma 3 6 2 2 3 2 3" xfId="3293"/>
    <cellStyle name="Comma 3 6 2 2 3 3" xfId="1790"/>
    <cellStyle name="Comma 3 6 2 2 3 3 2" xfId="3794"/>
    <cellStyle name="Comma 3 6 2 2 3 4" xfId="2792"/>
    <cellStyle name="Comma 3 6 2 2 4" xfId="1041"/>
    <cellStyle name="Comma 3 6 2 2 4 2" xfId="2043"/>
    <cellStyle name="Comma 3 6 2 2 4 2 2" xfId="4047"/>
    <cellStyle name="Comma 3 6 2 2 4 3" xfId="3045"/>
    <cellStyle name="Comma 3 6 2 2 5" xfId="1542"/>
    <cellStyle name="Comma 3 6 2 2 5 2" xfId="3546"/>
    <cellStyle name="Comma 3 6 2 2 6" xfId="2544"/>
    <cellStyle name="Comma 3 6 2 3" xfId="614"/>
    <cellStyle name="Comma 3 6 2 3 2" xfId="862"/>
    <cellStyle name="Comma 3 6 2 3 2 2" xfId="1366"/>
    <cellStyle name="Comma 3 6 2 3 2 2 2" xfId="2368"/>
    <cellStyle name="Comma 3 6 2 3 2 2 2 2" xfId="4372"/>
    <cellStyle name="Comma 3 6 2 3 2 2 3" xfId="3370"/>
    <cellStyle name="Comma 3 6 2 3 2 3" xfId="1867"/>
    <cellStyle name="Comma 3 6 2 3 2 3 2" xfId="3871"/>
    <cellStyle name="Comma 3 6 2 3 2 4" xfId="2869"/>
    <cellStyle name="Comma 3 6 2 3 3" xfId="1118"/>
    <cellStyle name="Comma 3 6 2 3 3 2" xfId="2120"/>
    <cellStyle name="Comma 3 6 2 3 3 2 2" xfId="4124"/>
    <cellStyle name="Comma 3 6 2 3 3 3" xfId="3122"/>
    <cellStyle name="Comma 3 6 2 3 4" xfId="1619"/>
    <cellStyle name="Comma 3 6 2 3 4 2" xfId="3623"/>
    <cellStyle name="Comma 3 6 2 3 5" xfId="2621"/>
    <cellStyle name="Comma 3 6 2 4" xfId="738"/>
    <cellStyle name="Comma 3 6 2 4 2" xfId="1242"/>
    <cellStyle name="Comma 3 6 2 4 2 2" xfId="2244"/>
    <cellStyle name="Comma 3 6 2 4 2 2 2" xfId="4248"/>
    <cellStyle name="Comma 3 6 2 4 2 3" xfId="3246"/>
    <cellStyle name="Comma 3 6 2 4 3" xfId="1743"/>
    <cellStyle name="Comma 3 6 2 4 3 2" xfId="3747"/>
    <cellStyle name="Comma 3 6 2 4 4" xfId="2745"/>
    <cellStyle name="Comma 3 6 2 5" xfId="994"/>
    <cellStyle name="Comma 3 6 2 5 2" xfId="1996"/>
    <cellStyle name="Comma 3 6 2 5 2 2" xfId="4000"/>
    <cellStyle name="Comma 3 6 2 5 3" xfId="2998"/>
    <cellStyle name="Comma 3 6 2 6" xfId="1495"/>
    <cellStyle name="Comma 3 6 2 6 2" xfId="3499"/>
    <cellStyle name="Comma 3 6 2 7" xfId="2497"/>
    <cellStyle name="Comma 3 6 3" xfId="510"/>
    <cellStyle name="Comma 3 6 3 2" xfId="538"/>
    <cellStyle name="Comma 3 6 3 2 2" xfId="662"/>
    <cellStyle name="Comma 3 6 3 2 2 2" xfId="910"/>
    <cellStyle name="Comma 3 6 3 2 2 2 2" xfId="1414"/>
    <cellStyle name="Comma 3 6 3 2 2 2 2 2" xfId="2416"/>
    <cellStyle name="Comma 3 6 3 2 2 2 2 2 2" xfId="4420"/>
    <cellStyle name="Comma 3 6 3 2 2 2 2 3" xfId="3418"/>
    <cellStyle name="Comma 3 6 3 2 2 2 3" xfId="1915"/>
    <cellStyle name="Comma 3 6 3 2 2 2 3 2" xfId="3919"/>
    <cellStyle name="Comma 3 6 3 2 2 2 4" xfId="2917"/>
    <cellStyle name="Comma 3 6 3 2 2 3" xfId="1166"/>
    <cellStyle name="Comma 3 6 3 2 2 3 2" xfId="2168"/>
    <cellStyle name="Comma 3 6 3 2 2 3 2 2" xfId="4172"/>
    <cellStyle name="Comma 3 6 3 2 2 3 3" xfId="3170"/>
    <cellStyle name="Comma 3 6 3 2 2 4" xfId="1667"/>
    <cellStyle name="Comma 3 6 3 2 2 4 2" xfId="3671"/>
    <cellStyle name="Comma 3 6 3 2 2 5" xfId="2669"/>
    <cellStyle name="Comma 3 6 3 2 3" xfId="786"/>
    <cellStyle name="Comma 3 6 3 2 3 2" xfId="1290"/>
    <cellStyle name="Comma 3 6 3 2 3 2 2" xfId="2292"/>
    <cellStyle name="Comma 3 6 3 2 3 2 2 2" xfId="4296"/>
    <cellStyle name="Comma 3 6 3 2 3 2 3" xfId="3294"/>
    <cellStyle name="Comma 3 6 3 2 3 3" xfId="1791"/>
    <cellStyle name="Comma 3 6 3 2 3 3 2" xfId="3795"/>
    <cellStyle name="Comma 3 6 3 2 3 4" xfId="2793"/>
    <cellStyle name="Comma 3 6 3 2 4" xfId="1042"/>
    <cellStyle name="Comma 3 6 3 2 4 2" xfId="2044"/>
    <cellStyle name="Comma 3 6 3 2 4 2 2" xfId="4048"/>
    <cellStyle name="Comma 3 6 3 2 4 3" xfId="3046"/>
    <cellStyle name="Comma 3 6 3 2 5" xfId="1543"/>
    <cellStyle name="Comma 3 6 3 2 5 2" xfId="3547"/>
    <cellStyle name="Comma 3 6 3 2 6" xfId="2545"/>
    <cellStyle name="Comma 3 6 3 3" xfId="634"/>
    <cellStyle name="Comma 3 6 3 3 2" xfId="882"/>
    <cellStyle name="Comma 3 6 3 3 2 2" xfId="1386"/>
    <cellStyle name="Comma 3 6 3 3 2 2 2" xfId="2388"/>
    <cellStyle name="Comma 3 6 3 3 2 2 2 2" xfId="4392"/>
    <cellStyle name="Comma 3 6 3 3 2 2 3" xfId="3390"/>
    <cellStyle name="Comma 3 6 3 3 2 3" xfId="1887"/>
    <cellStyle name="Comma 3 6 3 3 2 3 2" xfId="3891"/>
    <cellStyle name="Comma 3 6 3 3 2 4" xfId="2889"/>
    <cellStyle name="Comma 3 6 3 3 3" xfId="1138"/>
    <cellStyle name="Comma 3 6 3 3 3 2" xfId="2140"/>
    <cellStyle name="Comma 3 6 3 3 3 2 2" xfId="4144"/>
    <cellStyle name="Comma 3 6 3 3 3 3" xfId="3142"/>
    <cellStyle name="Comma 3 6 3 3 4" xfId="1639"/>
    <cellStyle name="Comma 3 6 3 3 4 2" xfId="3643"/>
    <cellStyle name="Comma 3 6 3 3 5" xfId="2641"/>
    <cellStyle name="Comma 3 6 3 4" xfId="758"/>
    <cellStyle name="Comma 3 6 3 4 2" xfId="1262"/>
    <cellStyle name="Comma 3 6 3 4 2 2" xfId="2264"/>
    <cellStyle name="Comma 3 6 3 4 2 2 2" xfId="4268"/>
    <cellStyle name="Comma 3 6 3 4 2 3" xfId="3266"/>
    <cellStyle name="Comma 3 6 3 4 3" xfId="1763"/>
    <cellStyle name="Comma 3 6 3 4 3 2" xfId="3767"/>
    <cellStyle name="Comma 3 6 3 4 4" xfId="2765"/>
    <cellStyle name="Comma 3 6 3 5" xfId="1014"/>
    <cellStyle name="Comma 3 6 3 5 2" xfId="2016"/>
    <cellStyle name="Comma 3 6 3 5 2 2" xfId="4020"/>
    <cellStyle name="Comma 3 6 3 5 3" xfId="3018"/>
    <cellStyle name="Comma 3 6 3 6" xfId="1515"/>
    <cellStyle name="Comma 3 6 3 6 2" xfId="3519"/>
    <cellStyle name="Comma 3 6 3 7" xfId="2517"/>
    <cellStyle name="Comma 3 6 4" xfId="536"/>
    <cellStyle name="Comma 3 6 4 2" xfId="660"/>
    <cellStyle name="Comma 3 6 4 2 2" xfId="908"/>
    <cellStyle name="Comma 3 6 4 2 2 2" xfId="1412"/>
    <cellStyle name="Comma 3 6 4 2 2 2 2" xfId="2414"/>
    <cellStyle name="Comma 3 6 4 2 2 2 2 2" xfId="4418"/>
    <cellStyle name="Comma 3 6 4 2 2 2 3" xfId="3416"/>
    <cellStyle name="Comma 3 6 4 2 2 3" xfId="1913"/>
    <cellStyle name="Comma 3 6 4 2 2 3 2" xfId="3917"/>
    <cellStyle name="Comma 3 6 4 2 2 4" xfId="2915"/>
    <cellStyle name="Comma 3 6 4 2 3" xfId="1164"/>
    <cellStyle name="Comma 3 6 4 2 3 2" xfId="2166"/>
    <cellStyle name="Comma 3 6 4 2 3 2 2" xfId="4170"/>
    <cellStyle name="Comma 3 6 4 2 3 3" xfId="3168"/>
    <cellStyle name="Comma 3 6 4 2 4" xfId="1665"/>
    <cellStyle name="Comma 3 6 4 2 4 2" xfId="3669"/>
    <cellStyle name="Comma 3 6 4 2 5" xfId="2667"/>
    <cellStyle name="Comma 3 6 4 3" xfId="784"/>
    <cellStyle name="Comma 3 6 4 3 2" xfId="1288"/>
    <cellStyle name="Comma 3 6 4 3 2 2" xfId="2290"/>
    <cellStyle name="Comma 3 6 4 3 2 2 2" xfId="4294"/>
    <cellStyle name="Comma 3 6 4 3 2 3" xfId="3292"/>
    <cellStyle name="Comma 3 6 4 3 3" xfId="1789"/>
    <cellStyle name="Comma 3 6 4 3 3 2" xfId="3793"/>
    <cellStyle name="Comma 3 6 4 3 4" xfId="2791"/>
    <cellStyle name="Comma 3 6 4 4" xfId="1040"/>
    <cellStyle name="Comma 3 6 4 4 2" xfId="2042"/>
    <cellStyle name="Comma 3 6 4 4 2 2" xfId="4046"/>
    <cellStyle name="Comma 3 6 4 4 3" xfId="3044"/>
    <cellStyle name="Comma 3 6 4 5" xfId="1541"/>
    <cellStyle name="Comma 3 6 4 5 2" xfId="3545"/>
    <cellStyle name="Comma 3 6 4 6" xfId="2543"/>
    <cellStyle name="Comma 3 6 5" xfId="592"/>
    <cellStyle name="Comma 3 6 5 2" xfId="840"/>
    <cellStyle name="Comma 3 6 5 2 2" xfId="1344"/>
    <cellStyle name="Comma 3 6 5 2 2 2" xfId="2346"/>
    <cellStyle name="Comma 3 6 5 2 2 2 2" xfId="4350"/>
    <cellStyle name="Comma 3 6 5 2 2 3" xfId="3348"/>
    <cellStyle name="Comma 3 6 5 2 3" xfId="1845"/>
    <cellStyle name="Comma 3 6 5 2 3 2" xfId="3849"/>
    <cellStyle name="Comma 3 6 5 2 4" xfId="2847"/>
    <cellStyle name="Comma 3 6 5 3" xfId="1096"/>
    <cellStyle name="Comma 3 6 5 3 2" xfId="2098"/>
    <cellStyle name="Comma 3 6 5 3 2 2" xfId="4102"/>
    <cellStyle name="Comma 3 6 5 3 3" xfId="3100"/>
    <cellStyle name="Comma 3 6 5 4" xfId="1597"/>
    <cellStyle name="Comma 3 6 5 4 2" xfId="3601"/>
    <cellStyle name="Comma 3 6 5 5" xfId="2599"/>
    <cellStyle name="Comma 3 6 6" xfId="716"/>
    <cellStyle name="Comma 3 6 6 2" xfId="1220"/>
    <cellStyle name="Comma 3 6 6 2 2" xfId="2222"/>
    <cellStyle name="Comma 3 6 6 2 2 2" xfId="4226"/>
    <cellStyle name="Comma 3 6 6 2 3" xfId="3224"/>
    <cellStyle name="Comma 3 6 6 3" xfId="1721"/>
    <cellStyle name="Comma 3 6 6 3 2" xfId="3725"/>
    <cellStyle name="Comma 3 6 6 4" xfId="2723"/>
    <cellStyle name="Comma 3 6 7" xfId="972"/>
    <cellStyle name="Comma 3 6 7 2" xfId="1974"/>
    <cellStyle name="Comma 3 6 7 2 2" xfId="3978"/>
    <cellStyle name="Comma 3 6 7 3" xfId="2976"/>
    <cellStyle name="Comma 3 6 8" xfId="1473"/>
    <cellStyle name="Comma 3 6 8 2" xfId="3477"/>
    <cellStyle name="Comma 3 6 9" xfId="2475"/>
    <cellStyle name="Comma 3 7" xfId="462"/>
    <cellStyle name="Comma 3 7 2" xfId="492"/>
    <cellStyle name="Comma 3 7 2 2" xfId="540"/>
    <cellStyle name="Comma 3 7 2 2 2" xfId="664"/>
    <cellStyle name="Comma 3 7 2 2 2 2" xfId="912"/>
    <cellStyle name="Comma 3 7 2 2 2 2 2" xfId="1416"/>
    <cellStyle name="Comma 3 7 2 2 2 2 2 2" xfId="2418"/>
    <cellStyle name="Comma 3 7 2 2 2 2 2 2 2" xfId="4422"/>
    <cellStyle name="Comma 3 7 2 2 2 2 2 3" xfId="3420"/>
    <cellStyle name="Comma 3 7 2 2 2 2 3" xfId="1917"/>
    <cellStyle name="Comma 3 7 2 2 2 2 3 2" xfId="3921"/>
    <cellStyle name="Comma 3 7 2 2 2 2 4" xfId="2919"/>
    <cellStyle name="Comma 3 7 2 2 2 3" xfId="1168"/>
    <cellStyle name="Comma 3 7 2 2 2 3 2" xfId="2170"/>
    <cellStyle name="Comma 3 7 2 2 2 3 2 2" xfId="4174"/>
    <cellStyle name="Comma 3 7 2 2 2 3 3" xfId="3172"/>
    <cellStyle name="Comma 3 7 2 2 2 4" xfId="1669"/>
    <cellStyle name="Comma 3 7 2 2 2 4 2" xfId="3673"/>
    <cellStyle name="Comma 3 7 2 2 2 5" xfId="2671"/>
    <cellStyle name="Comma 3 7 2 2 3" xfId="788"/>
    <cellStyle name="Comma 3 7 2 2 3 2" xfId="1292"/>
    <cellStyle name="Comma 3 7 2 2 3 2 2" xfId="2294"/>
    <cellStyle name="Comma 3 7 2 2 3 2 2 2" xfId="4298"/>
    <cellStyle name="Comma 3 7 2 2 3 2 3" xfId="3296"/>
    <cellStyle name="Comma 3 7 2 2 3 3" xfId="1793"/>
    <cellStyle name="Comma 3 7 2 2 3 3 2" xfId="3797"/>
    <cellStyle name="Comma 3 7 2 2 3 4" xfId="2795"/>
    <cellStyle name="Comma 3 7 2 2 4" xfId="1044"/>
    <cellStyle name="Comma 3 7 2 2 4 2" xfId="2046"/>
    <cellStyle name="Comma 3 7 2 2 4 2 2" xfId="4050"/>
    <cellStyle name="Comma 3 7 2 2 4 3" xfId="3048"/>
    <cellStyle name="Comma 3 7 2 2 5" xfId="1545"/>
    <cellStyle name="Comma 3 7 2 2 5 2" xfId="3549"/>
    <cellStyle name="Comma 3 7 2 2 6" xfId="2547"/>
    <cellStyle name="Comma 3 7 2 3" xfId="616"/>
    <cellStyle name="Comma 3 7 2 3 2" xfId="864"/>
    <cellStyle name="Comma 3 7 2 3 2 2" xfId="1368"/>
    <cellStyle name="Comma 3 7 2 3 2 2 2" xfId="2370"/>
    <cellStyle name="Comma 3 7 2 3 2 2 2 2" xfId="4374"/>
    <cellStyle name="Comma 3 7 2 3 2 2 3" xfId="3372"/>
    <cellStyle name="Comma 3 7 2 3 2 3" xfId="1869"/>
    <cellStyle name="Comma 3 7 2 3 2 3 2" xfId="3873"/>
    <cellStyle name="Comma 3 7 2 3 2 4" xfId="2871"/>
    <cellStyle name="Comma 3 7 2 3 3" xfId="1120"/>
    <cellStyle name="Comma 3 7 2 3 3 2" xfId="2122"/>
    <cellStyle name="Comma 3 7 2 3 3 2 2" xfId="4126"/>
    <cellStyle name="Comma 3 7 2 3 3 3" xfId="3124"/>
    <cellStyle name="Comma 3 7 2 3 4" xfId="1621"/>
    <cellStyle name="Comma 3 7 2 3 4 2" xfId="3625"/>
    <cellStyle name="Comma 3 7 2 3 5" xfId="2623"/>
    <cellStyle name="Comma 3 7 2 4" xfId="740"/>
    <cellStyle name="Comma 3 7 2 4 2" xfId="1244"/>
    <cellStyle name="Comma 3 7 2 4 2 2" xfId="2246"/>
    <cellStyle name="Comma 3 7 2 4 2 2 2" xfId="4250"/>
    <cellStyle name="Comma 3 7 2 4 2 3" xfId="3248"/>
    <cellStyle name="Comma 3 7 2 4 3" xfId="1745"/>
    <cellStyle name="Comma 3 7 2 4 3 2" xfId="3749"/>
    <cellStyle name="Comma 3 7 2 4 4" xfId="2747"/>
    <cellStyle name="Comma 3 7 2 5" xfId="996"/>
    <cellStyle name="Comma 3 7 2 5 2" xfId="1998"/>
    <cellStyle name="Comma 3 7 2 5 2 2" xfId="4002"/>
    <cellStyle name="Comma 3 7 2 5 3" xfId="3000"/>
    <cellStyle name="Comma 3 7 2 6" xfId="1497"/>
    <cellStyle name="Comma 3 7 2 6 2" xfId="3501"/>
    <cellStyle name="Comma 3 7 2 7" xfId="2499"/>
    <cellStyle name="Comma 3 7 3" xfId="512"/>
    <cellStyle name="Comma 3 7 3 2" xfId="541"/>
    <cellStyle name="Comma 3 7 3 2 2" xfId="665"/>
    <cellStyle name="Comma 3 7 3 2 2 2" xfId="913"/>
    <cellStyle name="Comma 3 7 3 2 2 2 2" xfId="1417"/>
    <cellStyle name="Comma 3 7 3 2 2 2 2 2" xfId="2419"/>
    <cellStyle name="Comma 3 7 3 2 2 2 2 2 2" xfId="4423"/>
    <cellStyle name="Comma 3 7 3 2 2 2 2 3" xfId="3421"/>
    <cellStyle name="Comma 3 7 3 2 2 2 3" xfId="1918"/>
    <cellStyle name="Comma 3 7 3 2 2 2 3 2" xfId="3922"/>
    <cellStyle name="Comma 3 7 3 2 2 2 4" xfId="2920"/>
    <cellStyle name="Comma 3 7 3 2 2 3" xfId="1169"/>
    <cellStyle name="Comma 3 7 3 2 2 3 2" xfId="2171"/>
    <cellStyle name="Comma 3 7 3 2 2 3 2 2" xfId="4175"/>
    <cellStyle name="Comma 3 7 3 2 2 3 3" xfId="3173"/>
    <cellStyle name="Comma 3 7 3 2 2 4" xfId="1670"/>
    <cellStyle name="Comma 3 7 3 2 2 4 2" xfId="3674"/>
    <cellStyle name="Comma 3 7 3 2 2 5" xfId="2672"/>
    <cellStyle name="Comma 3 7 3 2 3" xfId="789"/>
    <cellStyle name="Comma 3 7 3 2 3 2" xfId="1293"/>
    <cellStyle name="Comma 3 7 3 2 3 2 2" xfId="2295"/>
    <cellStyle name="Comma 3 7 3 2 3 2 2 2" xfId="4299"/>
    <cellStyle name="Comma 3 7 3 2 3 2 3" xfId="3297"/>
    <cellStyle name="Comma 3 7 3 2 3 3" xfId="1794"/>
    <cellStyle name="Comma 3 7 3 2 3 3 2" xfId="3798"/>
    <cellStyle name="Comma 3 7 3 2 3 4" xfId="2796"/>
    <cellStyle name="Comma 3 7 3 2 4" xfId="1045"/>
    <cellStyle name="Comma 3 7 3 2 4 2" xfId="2047"/>
    <cellStyle name="Comma 3 7 3 2 4 2 2" xfId="4051"/>
    <cellStyle name="Comma 3 7 3 2 4 3" xfId="3049"/>
    <cellStyle name="Comma 3 7 3 2 5" xfId="1546"/>
    <cellStyle name="Comma 3 7 3 2 5 2" xfId="3550"/>
    <cellStyle name="Comma 3 7 3 2 6" xfId="2548"/>
    <cellStyle name="Comma 3 7 3 3" xfId="636"/>
    <cellStyle name="Comma 3 7 3 3 2" xfId="884"/>
    <cellStyle name="Comma 3 7 3 3 2 2" xfId="1388"/>
    <cellStyle name="Comma 3 7 3 3 2 2 2" xfId="2390"/>
    <cellStyle name="Comma 3 7 3 3 2 2 2 2" xfId="4394"/>
    <cellStyle name="Comma 3 7 3 3 2 2 3" xfId="3392"/>
    <cellStyle name="Comma 3 7 3 3 2 3" xfId="1889"/>
    <cellStyle name="Comma 3 7 3 3 2 3 2" xfId="3893"/>
    <cellStyle name="Comma 3 7 3 3 2 4" xfId="2891"/>
    <cellStyle name="Comma 3 7 3 3 3" xfId="1140"/>
    <cellStyle name="Comma 3 7 3 3 3 2" xfId="2142"/>
    <cellStyle name="Comma 3 7 3 3 3 2 2" xfId="4146"/>
    <cellStyle name="Comma 3 7 3 3 3 3" xfId="3144"/>
    <cellStyle name="Comma 3 7 3 3 4" xfId="1641"/>
    <cellStyle name="Comma 3 7 3 3 4 2" xfId="3645"/>
    <cellStyle name="Comma 3 7 3 3 5" xfId="2643"/>
    <cellStyle name="Comma 3 7 3 4" xfId="760"/>
    <cellStyle name="Comma 3 7 3 4 2" xfId="1264"/>
    <cellStyle name="Comma 3 7 3 4 2 2" xfId="2266"/>
    <cellStyle name="Comma 3 7 3 4 2 2 2" xfId="4270"/>
    <cellStyle name="Comma 3 7 3 4 2 3" xfId="3268"/>
    <cellStyle name="Comma 3 7 3 4 3" xfId="1765"/>
    <cellStyle name="Comma 3 7 3 4 3 2" xfId="3769"/>
    <cellStyle name="Comma 3 7 3 4 4" xfId="2767"/>
    <cellStyle name="Comma 3 7 3 5" xfId="1016"/>
    <cellStyle name="Comma 3 7 3 5 2" xfId="2018"/>
    <cellStyle name="Comma 3 7 3 5 2 2" xfId="4022"/>
    <cellStyle name="Comma 3 7 3 5 3" xfId="3020"/>
    <cellStyle name="Comma 3 7 3 6" xfId="1517"/>
    <cellStyle name="Comma 3 7 3 6 2" xfId="3521"/>
    <cellStyle name="Comma 3 7 3 7" xfId="2519"/>
    <cellStyle name="Comma 3 7 4" xfId="539"/>
    <cellStyle name="Comma 3 7 4 2" xfId="663"/>
    <cellStyle name="Comma 3 7 4 2 2" xfId="911"/>
    <cellStyle name="Comma 3 7 4 2 2 2" xfId="1415"/>
    <cellStyle name="Comma 3 7 4 2 2 2 2" xfId="2417"/>
    <cellStyle name="Comma 3 7 4 2 2 2 2 2" xfId="4421"/>
    <cellStyle name="Comma 3 7 4 2 2 2 3" xfId="3419"/>
    <cellStyle name="Comma 3 7 4 2 2 3" xfId="1916"/>
    <cellStyle name="Comma 3 7 4 2 2 3 2" xfId="3920"/>
    <cellStyle name="Comma 3 7 4 2 2 4" xfId="2918"/>
    <cellStyle name="Comma 3 7 4 2 3" xfId="1167"/>
    <cellStyle name="Comma 3 7 4 2 3 2" xfId="2169"/>
    <cellStyle name="Comma 3 7 4 2 3 2 2" xfId="4173"/>
    <cellStyle name="Comma 3 7 4 2 3 3" xfId="3171"/>
    <cellStyle name="Comma 3 7 4 2 4" xfId="1668"/>
    <cellStyle name="Comma 3 7 4 2 4 2" xfId="3672"/>
    <cellStyle name="Comma 3 7 4 2 5" xfId="2670"/>
    <cellStyle name="Comma 3 7 4 3" xfId="787"/>
    <cellStyle name="Comma 3 7 4 3 2" xfId="1291"/>
    <cellStyle name="Comma 3 7 4 3 2 2" xfId="2293"/>
    <cellStyle name="Comma 3 7 4 3 2 2 2" xfId="4297"/>
    <cellStyle name="Comma 3 7 4 3 2 3" xfId="3295"/>
    <cellStyle name="Comma 3 7 4 3 3" xfId="1792"/>
    <cellStyle name="Comma 3 7 4 3 3 2" xfId="3796"/>
    <cellStyle name="Comma 3 7 4 3 4" xfId="2794"/>
    <cellStyle name="Comma 3 7 4 4" xfId="1043"/>
    <cellStyle name="Comma 3 7 4 4 2" xfId="2045"/>
    <cellStyle name="Comma 3 7 4 4 2 2" xfId="4049"/>
    <cellStyle name="Comma 3 7 4 4 3" xfId="3047"/>
    <cellStyle name="Comma 3 7 4 5" xfId="1544"/>
    <cellStyle name="Comma 3 7 4 5 2" xfId="3548"/>
    <cellStyle name="Comma 3 7 4 6" xfId="2546"/>
    <cellStyle name="Comma 3 7 5" xfId="594"/>
    <cellStyle name="Comma 3 7 5 2" xfId="842"/>
    <cellStyle name="Comma 3 7 5 2 2" xfId="1346"/>
    <cellStyle name="Comma 3 7 5 2 2 2" xfId="2348"/>
    <cellStyle name="Comma 3 7 5 2 2 2 2" xfId="4352"/>
    <cellStyle name="Comma 3 7 5 2 2 3" xfId="3350"/>
    <cellStyle name="Comma 3 7 5 2 3" xfId="1847"/>
    <cellStyle name="Comma 3 7 5 2 3 2" xfId="3851"/>
    <cellStyle name="Comma 3 7 5 2 4" xfId="2849"/>
    <cellStyle name="Comma 3 7 5 3" xfId="1098"/>
    <cellStyle name="Comma 3 7 5 3 2" xfId="2100"/>
    <cellStyle name="Comma 3 7 5 3 2 2" xfId="4104"/>
    <cellStyle name="Comma 3 7 5 3 3" xfId="3102"/>
    <cellStyle name="Comma 3 7 5 4" xfId="1599"/>
    <cellStyle name="Comma 3 7 5 4 2" xfId="3603"/>
    <cellStyle name="Comma 3 7 5 5" xfId="2601"/>
    <cellStyle name="Comma 3 7 6" xfId="718"/>
    <cellStyle name="Comma 3 7 6 2" xfId="1222"/>
    <cellStyle name="Comma 3 7 6 2 2" xfId="2224"/>
    <cellStyle name="Comma 3 7 6 2 2 2" xfId="4228"/>
    <cellStyle name="Comma 3 7 6 2 3" xfId="3226"/>
    <cellStyle name="Comma 3 7 6 3" xfId="1723"/>
    <cellStyle name="Comma 3 7 6 3 2" xfId="3727"/>
    <cellStyle name="Comma 3 7 6 4" xfId="2725"/>
    <cellStyle name="Comma 3 7 7" xfId="974"/>
    <cellStyle name="Comma 3 7 7 2" xfId="1976"/>
    <cellStyle name="Comma 3 7 7 2 2" xfId="3980"/>
    <cellStyle name="Comma 3 7 7 3" xfId="2978"/>
    <cellStyle name="Comma 3 7 8" xfId="1475"/>
    <cellStyle name="Comma 3 7 8 2" xfId="3479"/>
    <cellStyle name="Comma 3 7 9" xfId="2477"/>
    <cellStyle name="Comma 3 8" xfId="464"/>
    <cellStyle name="Comma 3 8 2" xfId="494"/>
    <cellStyle name="Comma 3 8 2 2" xfId="543"/>
    <cellStyle name="Comma 3 8 2 2 2" xfId="667"/>
    <cellStyle name="Comma 3 8 2 2 2 2" xfId="915"/>
    <cellStyle name="Comma 3 8 2 2 2 2 2" xfId="1419"/>
    <cellStyle name="Comma 3 8 2 2 2 2 2 2" xfId="2421"/>
    <cellStyle name="Comma 3 8 2 2 2 2 2 2 2" xfId="4425"/>
    <cellStyle name="Comma 3 8 2 2 2 2 2 3" xfId="3423"/>
    <cellStyle name="Comma 3 8 2 2 2 2 3" xfId="1920"/>
    <cellStyle name="Comma 3 8 2 2 2 2 3 2" xfId="3924"/>
    <cellStyle name="Comma 3 8 2 2 2 2 4" xfId="2922"/>
    <cellStyle name="Comma 3 8 2 2 2 3" xfId="1171"/>
    <cellStyle name="Comma 3 8 2 2 2 3 2" xfId="2173"/>
    <cellStyle name="Comma 3 8 2 2 2 3 2 2" xfId="4177"/>
    <cellStyle name="Comma 3 8 2 2 2 3 3" xfId="3175"/>
    <cellStyle name="Comma 3 8 2 2 2 4" xfId="1672"/>
    <cellStyle name="Comma 3 8 2 2 2 4 2" xfId="3676"/>
    <cellStyle name="Comma 3 8 2 2 2 5" xfId="2674"/>
    <cellStyle name="Comma 3 8 2 2 3" xfId="791"/>
    <cellStyle name="Comma 3 8 2 2 3 2" xfId="1295"/>
    <cellStyle name="Comma 3 8 2 2 3 2 2" xfId="2297"/>
    <cellStyle name="Comma 3 8 2 2 3 2 2 2" xfId="4301"/>
    <cellStyle name="Comma 3 8 2 2 3 2 3" xfId="3299"/>
    <cellStyle name="Comma 3 8 2 2 3 3" xfId="1796"/>
    <cellStyle name="Comma 3 8 2 2 3 3 2" xfId="3800"/>
    <cellStyle name="Comma 3 8 2 2 3 4" xfId="2798"/>
    <cellStyle name="Comma 3 8 2 2 4" xfId="1047"/>
    <cellStyle name="Comma 3 8 2 2 4 2" xfId="2049"/>
    <cellStyle name="Comma 3 8 2 2 4 2 2" xfId="4053"/>
    <cellStyle name="Comma 3 8 2 2 4 3" xfId="3051"/>
    <cellStyle name="Comma 3 8 2 2 5" xfId="1548"/>
    <cellStyle name="Comma 3 8 2 2 5 2" xfId="3552"/>
    <cellStyle name="Comma 3 8 2 2 6" xfId="2550"/>
    <cellStyle name="Comma 3 8 2 3" xfId="618"/>
    <cellStyle name="Comma 3 8 2 3 2" xfId="866"/>
    <cellStyle name="Comma 3 8 2 3 2 2" xfId="1370"/>
    <cellStyle name="Comma 3 8 2 3 2 2 2" xfId="2372"/>
    <cellStyle name="Comma 3 8 2 3 2 2 2 2" xfId="4376"/>
    <cellStyle name="Comma 3 8 2 3 2 2 3" xfId="3374"/>
    <cellStyle name="Comma 3 8 2 3 2 3" xfId="1871"/>
    <cellStyle name="Comma 3 8 2 3 2 3 2" xfId="3875"/>
    <cellStyle name="Comma 3 8 2 3 2 4" xfId="2873"/>
    <cellStyle name="Comma 3 8 2 3 3" xfId="1122"/>
    <cellStyle name="Comma 3 8 2 3 3 2" xfId="2124"/>
    <cellStyle name="Comma 3 8 2 3 3 2 2" xfId="4128"/>
    <cellStyle name="Comma 3 8 2 3 3 3" xfId="3126"/>
    <cellStyle name="Comma 3 8 2 3 4" xfId="1623"/>
    <cellStyle name="Comma 3 8 2 3 4 2" xfId="3627"/>
    <cellStyle name="Comma 3 8 2 3 5" xfId="2625"/>
    <cellStyle name="Comma 3 8 2 4" xfId="742"/>
    <cellStyle name="Comma 3 8 2 4 2" xfId="1246"/>
    <cellStyle name="Comma 3 8 2 4 2 2" xfId="2248"/>
    <cellStyle name="Comma 3 8 2 4 2 2 2" xfId="4252"/>
    <cellStyle name="Comma 3 8 2 4 2 3" xfId="3250"/>
    <cellStyle name="Comma 3 8 2 4 3" xfId="1747"/>
    <cellStyle name="Comma 3 8 2 4 3 2" xfId="3751"/>
    <cellStyle name="Comma 3 8 2 4 4" xfId="2749"/>
    <cellStyle name="Comma 3 8 2 5" xfId="998"/>
    <cellStyle name="Comma 3 8 2 5 2" xfId="2000"/>
    <cellStyle name="Comma 3 8 2 5 2 2" xfId="4004"/>
    <cellStyle name="Comma 3 8 2 5 3" xfId="3002"/>
    <cellStyle name="Comma 3 8 2 6" xfId="1499"/>
    <cellStyle name="Comma 3 8 2 6 2" xfId="3503"/>
    <cellStyle name="Comma 3 8 2 7" xfId="2501"/>
    <cellStyle name="Comma 3 8 3" xfId="514"/>
    <cellStyle name="Comma 3 8 3 2" xfId="544"/>
    <cellStyle name="Comma 3 8 3 2 2" xfId="668"/>
    <cellStyle name="Comma 3 8 3 2 2 2" xfId="916"/>
    <cellStyle name="Comma 3 8 3 2 2 2 2" xfId="1420"/>
    <cellStyle name="Comma 3 8 3 2 2 2 2 2" xfId="2422"/>
    <cellStyle name="Comma 3 8 3 2 2 2 2 2 2" xfId="4426"/>
    <cellStyle name="Comma 3 8 3 2 2 2 2 3" xfId="3424"/>
    <cellStyle name="Comma 3 8 3 2 2 2 3" xfId="1921"/>
    <cellStyle name="Comma 3 8 3 2 2 2 3 2" xfId="3925"/>
    <cellStyle name="Comma 3 8 3 2 2 2 4" xfId="2923"/>
    <cellStyle name="Comma 3 8 3 2 2 3" xfId="1172"/>
    <cellStyle name="Comma 3 8 3 2 2 3 2" xfId="2174"/>
    <cellStyle name="Comma 3 8 3 2 2 3 2 2" xfId="4178"/>
    <cellStyle name="Comma 3 8 3 2 2 3 3" xfId="3176"/>
    <cellStyle name="Comma 3 8 3 2 2 4" xfId="1673"/>
    <cellStyle name="Comma 3 8 3 2 2 4 2" xfId="3677"/>
    <cellStyle name="Comma 3 8 3 2 2 5" xfId="2675"/>
    <cellStyle name="Comma 3 8 3 2 3" xfId="792"/>
    <cellStyle name="Comma 3 8 3 2 3 2" xfId="1296"/>
    <cellStyle name="Comma 3 8 3 2 3 2 2" xfId="2298"/>
    <cellStyle name="Comma 3 8 3 2 3 2 2 2" xfId="4302"/>
    <cellStyle name="Comma 3 8 3 2 3 2 3" xfId="3300"/>
    <cellStyle name="Comma 3 8 3 2 3 3" xfId="1797"/>
    <cellStyle name="Comma 3 8 3 2 3 3 2" xfId="3801"/>
    <cellStyle name="Comma 3 8 3 2 3 4" xfId="2799"/>
    <cellStyle name="Comma 3 8 3 2 4" xfId="1048"/>
    <cellStyle name="Comma 3 8 3 2 4 2" xfId="2050"/>
    <cellStyle name="Comma 3 8 3 2 4 2 2" xfId="4054"/>
    <cellStyle name="Comma 3 8 3 2 4 3" xfId="3052"/>
    <cellStyle name="Comma 3 8 3 2 5" xfId="1549"/>
    <cellStyle name="Comma 3 8 3 2 5 2" xfId="3553"/>
    <cellStyle name="Comma 3 8 3 2 6" xfId="2551"/>
    <cellStyle name="Comma 3 8 3 3" xfId="638"/>
    <cellStyle name="Comma 3 8 3 3 2" xfId="886"/>
    <cellStyle name="Comma 3 8 3 3 2 2" xfId="1390"/>
    <cellStyle name="Comma 3 8 3 3 2 2 2" xfId="2392"/>
    <cellStyle name="Comma 3 8 3 3 2 2 2 2" xfId="4396"/>
    <cellStyle name="Comma 3 8 3 3 2 2 3" xfId="3394"/>
    <cellStyle name="Comma 3 8 3 3 2 3" xfId="1891"/>
    <cellStyle name="Comma 3 8 3 3 2 3 2" xfId="3895"/>
    <cellStyle name="Comma 3 8 3 3 2 4" xfId="2893"/>
    <cellStyle name="Comma 3 8 3 3 3" xfId="1142"/>
    <cellStyle name="Comma 3 8 3 3 3 2" xfId="2144"/>
    <cellStyle name="Comma 3 8 3 3 3 2 2" xfId="4148"/>
    <cellStyle name="Comma 3 8 3 3 3 3" xfId="3146"/>
    <cellStyle name="Comma 3 8 3 3 4" xfId="1643"/>
    <cellStyle name="Comma 3 8 3 3 4 2" xfId="3647"/>
    <cellStyle name="Comma 3 8 3 3 5" xfId="2645"/>
    <cellStyle name="Comma 3 8 3 4" xfId="762"/>
    <cellStyle name="Comma 3 8 3 4 2" xfId="1266"/>
    <cellStyle name="Comma 3 8 3 4 2 2" xfId="2268"/>
    <cellStyle name="Comma 3 8 3 4 2 2 2" xfId="4272"/>
    <cellStyle name="Comma 3 8 3 4 2 3" xfId="3270"/>
    <cellStyle name="Comma 3 8 3 4 3" xfId="1767"/>
    <cellStyle name="Comma 3 8 3 4 3 2" xfId="3771"/>
    <cellStyle name="Comma 3 8 3 4 4" xfId="2769"/>
    <cellStyle name="Comma 3 8 3 5" xfId="1018"/>
    <cellStyle name="Comma 3 8 3 5 2" xfId="2020"/>
    <cellStyle name="Comma 3 8 3 5 2 2" xfId="4024"/>
    <cellStyle name="Comma 3 8 3 5 3" xfId="3022"/>
    <cellStyle name="Comma 3 8 3 6" xfId="1519"/>
    <cellStyle name="Comma 3 8 3 6 2" xfId="3523"/>
    <cellStyle name="Comma 3 8 3 7" xfId="2521"/>
    <cellStyle name="Comma 3 8 4" xfId="542"/>
    <cellStyle name="Comma 3 8 4 2" xfId="666"/>
    <cellStyle name="Comma 3 8 4 2 2" xfId="914"/>
    <cellStyle name="Comma 3 8 4 2 2 2" xfId="1418"/>
    <cellStyle name="Comma 3 8 4 2 2 2 2" xfId="2420"/>
    <cellStyle name="Comma 3 8 4 2 2 2 2 2" xfId="4424"/>
    <cellStyle name="Comma 3 8 4 2 2 2 3" xfId="3422"/>
    <cellStyle name="Comma 3 8 4 2 2 3" xfId="1919"/>
    <cellStyle name="Comma 3 8 4 2 2 3 2" xfId="3923"/>
    <cellStyle name="Comma 3 8 4 2 2 4" xfId="2921"/>
    <cellStyle name="Comma 3 8 4 2 3" xfId="1170"/>
    <cellStyle name="Comma 3 8 4 2 3 2" xfId="2172"/>
    <cellStyle name="Comma 3 8 4 2 3 2 2" xfId="4176"/>
    <cellStyle name="Comma 3 8 4 2 3 3" xfId="3174"/>
    <cellStyle name="Comma 3 8 4 2 4" xfId="1671"/>
    <cellStyle name="Comma 3 8 4 2 4 2" xfId="3675"/>
    <cellStyle name="Comma 3 8 4 2 5" xfId="2673"/>
    <cellStyle name="Comma 3 8 4 3" xfId="790"/>
    <cellStyle name="Comma 3 8 4 3 2" xfId="1294"/>
    <cellStyle name="Comma 3 8 4 3 2 2" xfId="2296"/>
    <cellStyle name="Comma 3 8 4 3 2 2 2" xfId="4300"/>
    <cellStyle name="Comma 3 8 4 3 2 3" xfId="3298"/>
    <cellStyle name="Comma 3 8 4 3 3" xfId="1795"/>
    <cellStyle name="Comma 3 8 4 3 3 2" xfId="3799"/>
    <cellStyle name="Comma 3 8 4 3 4" xfId="2797"/>
    <cellStyle name="Comma 3 8 4 4" xfId="1046"/>
    <cellStyle name="Comma 3 8 4 4 2" xfId="2048"/>
    <cellStyle name="Comma 3 8 4 4 2 2" xfId="4052"/>
    <cellStyle name="Comma 3 8 4 4 3" xfId="3050"/>
    <cellStyle name="Comma 3 8 4 5" xfId="1547"/>
    <cellStyle name="Comma 3 8 4 5 2" xfId="3551"/>
    <cellStyle name="Comma 3 8 4 6" xfId="2549"/>
    <cellStyle name="Comma 3 8 5" xfId="596"/>
    <cellStyle name="Comma 3 8 5 2" xfId="844"/>
    <cellStyle name="Comma 3 8 5 2 2" xfId="1348"/>
    <cellStyle name="Comma 3 8 5 2 2 2" xfId="2350"/>
    <cellStyle name="Comma 3 8 5 2 2 2 2" xfId="4354"/>
    <cellStyle name="Comma 3 8 5 2 2 3" xfId="3352"/>
    <cellStyle name="Comma 3 8 5 2 3" xfId="1849"/>
    <cellStyle name="Comma 3 8 5 2 3 2" xfId="3853"/>
    <cellStyle name="Comma 3 8 5 2 4" xfId="2851"/>
    <cellStyle name="Comma 3 8 5 3" xfId="1100"/>
    <cellStyle name="Comma 3 8 5 3 2" xfId="2102"/>
    <cellStyle name="Comma 3 8 5 3 2 2" xfId="4106"/>
    <cellStyle name="Comma 3 8 5 3 3" xfId="3104"/>
    <cellStyle name="Comma 3 8 5 4" xfId="1601"/>
    <cellStyle name="Comma 3 8 5 4 2" xfId="3605"/>
    <cellStyle name="Comma 3 8 5 5" xfId="2603"/>
    <cellStyle name="Comma 3 8 6" xfId="720"/>
    <cellStyle name="Comma 3 8 6 2" xfId="1224"/>
    <cellStyle name="Comma 3 8 6 2 2" xfId="2226"/>
    <cellStyle name="Comma 3 8 6 2 2 2" xfId="4230"/>
    <cellStyle name="Comma 3 8 6 2 3" xfId="3228"/>
    <cellStyle name="Comma 3 8 6 3" xfId="1725"/>
    <cellStyle name="Comma 3 8 6 3 2" xfId="3729"/>
    <cellStyle name="Comma 3 8 6 4" xfId="2727"/>
    <cellStyle name="Comma 3 8 7" xfId="976"/>
    <cellStyle name="Comma 3 8 7 2" xfId="1978"/>
    <cellStyle name="Comma 3 8 7 2 2" xfId="3982"/>
    <cellStyle name="Comma 3 8 7 3" xfId="2980"/>
    <cellStyle name="Comma 3 8 8" xfId="1477"/>
    <cellStyle name="Comma 3 8 8 2" xfId="3481"/>
    <cellStyle name="Comma 3 8 9" xfId="2479"/>
    <cellStyle name="Comma 3 9" xfId="466"/>
    <cellStyle name="Comma 3 9 2" xfId="496"/>
    <cellStyle name="Comma 3 9 2 2" xfId="546"/>
    <cellStyle name="Comma 3 9 2 2 2" xfId="670"/>
    <cellStyle name="Comma 3 9 2 2 2 2" xfId="918"/>
    <cellStyle name="Comma 3 9 2 2 2 2 2" xfId="1422"/>
    <cellStyle name="Comma 3 9 2 2 2 2 2 2" xfId="2424"/>
    <cellStyle name="Comma 3 9 2 2 2 2 2 2 2" xfId="4428"/>
    <cellStyle name="Comma 3 9 2 2 2 2 2 3" xfId="3426"/>
    <cellStyle name="Comma 3 9 2 2 2 2 3" xfId="1923"/>
    <cellStyle name="Comma 3 9 2 2 2 2 3 2" xfId="3927"/>
    <cellStyle name="Comma 3 9 2 2 2 2 4" xfId="2925"/>
    <cellStyle name="Comma 3 9 2 2 2 3" xfId="1174"/>
    <cellStyle name="Comma 3 9 2 2 2 3 2" xfId="2176"/>
    <cellStyle name="Comma 3 9 2 2 2 3 2 2" xfId="4180"/>
    <cellStyle name="Comma 3 9 2 2 2 3 3" xfId="3178"/>
    <cellStyle name="Comma 3 9 2 2 2 4" xfId="1675"/>
    <cellStyle name="Comma 3 9 2 2 2 4 2" xfId="3679"/>
    <cellStyle name="Comma 3 9 2 2 2 5" xfId="2677"/>
    <cellStyle name="Comma 3 9 2 2 3" xfId="794"/>
    <cellStyle name="Comma 3 9 2 2 3 2" xfId="1298"/>
    <cellStyle name="Comma 3 9 2 2 3 2 2" xfId="2300"/>
    <cellStyle name="Comma 3 9 2 2 3 2 2 2" xfId="4304"/>
    <cellStyle name="Comma 3 9 2 2 3 2 3" xfId="3302"/>
    <cellStyle name="Comma 3 9 2 2 3 3" xfId="1799"/>
    <cellStyle name="Comma 3 9 2 2 3 3 2" xfId="3803"/>
    <cellStyle name="Comma 3 9 2 2 3 4" xfId="2801"/>
    <cellStyle name="Comma 3 9 2 2 4" xfId="1050"/>
    <cellStyle name="Comma 3 9 2 2 4 2" xfId="2052"/>
    <cellStyle name="Comma 3 9 2 2 4 2 2" xfId="4056"/>
    <cellStyle name="Comma 3 9 2 2 4 3" xfId="3054"/>
    <cellStyle name="Comma 3 9 2 2 5" xfId="1551"/>
    <cellStyle name="Comma 3 9 2 2 5 2" xfId="3555"/>
    <cellStyle name="Comma 3 9 2 2 6" xfId="2553"/>
    <cellStyle name="Comma 3 9 2 3" xfId="620"/>
    <cellStyle name="Comma 3 9 2 3 2" xfId="868"/>
    <cellStyle name="Comma 3 9 2 3 2 2" xfId="1372"/>
    <cellStyle name="Comma 3 9 2 3 2 2 2" xfId="2374"/>
    <cellStyle name="Comma 3 9 2 3 2 2 2 2" xfId="4378"/>
    <cellStyle name="Comma 3 9 2 3 2 2 3" xfId="3376"/>
    <cellStyle name="Comma 3 9 2 3 2 3" xfId="1873"/>
    <cellStyle name="Comma 3 9 2 3 2 3 2" xfId="3877"/>
    <cellStyle name="Comma 3 9 2 3 2 4" xfId="2875"/>
    <cellStyle name="Comma 3 9 2 3 3" xfId="1124"/>
    <cellStyle name="Comma 3 9 2 3 3 2" xfId="2126"/>
    <cellStyle name="Comma 3 9 2 3 3 2 2" xfId="4130"/>
    <cellStyle name="Comma 3 9 2 3 3 3" xfId="3128"/>
    <cellStyle name="Comma 3 9 2 3 4" xfId="1625"/>
    <cellStyle name="Comma 3 9 2 3 4 2" xfId="3629"/>
    <cellStyle name="Comma 3 9 2 3 5" xfId="2627"/>
    <cellStyle name="Comma 3 9 2 4" xfId="744"/>
    <cellStyle name="Comma 3 9 2 4 2" xfId="1248"/>
    <cellStyle name="Comma 3 9 2 4 2 2" xfId="2250"/>
    <cellStyle name="Comma 3 9 2 4 2 2 2" xfId="4254"/>
    <cellStyle name="Comma 3 9 2 4 2 3" xfId="3252"/>
    <cellStyle name="Comma 3 9 2 4 3" xfId="1749"/>
    <cellStyle name="Comma 3 9 2 4 3 2" xfId="3753"/>
    <cellStyle name="Comma 3 9 2 4 4" xfId="2751"/>
    <cellStyle name="Comma 3 9 2 5" xfId="1000"/>
    <cellStyle name="Comma 3 9 2 5 2" xfId="2002"/>
    <cellStyle name="Comma 3 9 2 5 2 2" xfId="4006"/>
    <cellStyle name="Comma 3 9 2 5 3" xfId="3004"/>
    <cellStyle name="Comma 3 9 2 6" xfId="1501"/>
    <cellStyle name="Comma 3 9 2 6 2" xfId="3505"/>
    <cellStyle name="Comma 3 9 2 7" xfId="2503"/>
    <cellStyle name="Comma 3 9 3" xfId="516"/>
    <cellStyle name="Comma 3 9 3 2" xfId="547"/>
    <cellStyle name="Comma 3 9 3 2 2" xfId="671"/>
    <cellStyle name="Comma 3 9 3 2 2 2" xfId="919"/>
    <cellStyle name="Comma 3 9 3 2 2 2 2" xfId="1423"/>
    <cellStyle name="Comma 3 9 3 2 2 2 2 2" xfId="2425"/>
    <cellStyle name="Comma 3 9 3 2 2 2 2 2 2" xfId="4429"/>
    <cellStyle name="Comma 3 9 3 2 2 2 2 3" xfId="3427"/>
    <cellStyle name="Comma 3 9 3 2 2 2 3" xfId="1924"/>
    <cellStyle name="Comma 3 9 3 2 2 2 3 2" xfId="3928"/>
    <cellStyle name="Comma 3 9 3 2 2 2 4" xfId="2926"/>
    <cellStyle name="Comma 3 9 3 2 2 3" xfId="1175"/>
    <cellStyle name="Comma 3 9 3 2 2 3 2" xfId="2177"/>
    <cellStyle name="Comma 3 9 3 2 2 3 2 2" xfId="4181"/>
    <cellStyle name="Comma 3 9 3 2 2 3 3" xfId="3179"/>
    <cellStyle name="Comma 3 9 3 2 2 4" xfId="1676"/>
    <cellStyle name="Comma 3 9 3 2 2 4 2" xfId="3680"/>
    <cellStyle name="Comma 3 9 3 2 2 5" xfId="2678"/>
    <cellStyle name="Comma 3 9 3 2 3" xfId="795"/>
    <cellStyle name="Comma 3 9 3 2 3 2" xfId="1299"/>
    <cellStyle name="Comma 3 9 3 2 3 2 2" xfId="2301"/>
    <cellStyle name="Comma 3 9 3 2 3 2 2 2" xfId="4305"/>
    <cellStyle name="Comma 3 9 3 2 3 2 3" xfId="3303"/>
    <cellStyle name="Comma 3 9 3 2 3 3" xfId="1800"/>
    <cellStyle name="Comma 3 9 3 2 3 3 2" xfId="3804"/>
    <cellStyle name="Comma 3 9 3 2 3 4" xfId="2802"/>
    <cellStyle name="Comma 3 9 3 2 4" xfId="1051"/>
    <cellStyle name="Comma 3 9 3 2 4 2" xfId="2053"/>
    <cellStyle name="Comma 3 9 3 2 4 2 2" xfId="4057"/>
    <cellStyle name="Comma 3 9 3 2 4 3" xfId="3055"/>
    <cellStyle name="Comma 3 9 3 2 5" xfId="1552"/>
    <cellStyle name="Comma 3 9 3 2 5 2" xfId="3556"/>
    <cellStyle name="Comma 3 9 3 2 6" xfId="2554"/>
    <cellStyle name="Comma 3 9 3 3" xfId="640"/>
    <cellStyle name="Comma 3 9 3 3 2" xfId="888"/>
    <cellStyle name="Comma 3 9 3 3 2 2" xfId="1392"/>
    <cellStyle name="Comma 3 9 3 3 2 2 2" xfId="2394"/>
    <cellStyle name="Comma 3 9 3 3 2 2 2 2" xfId="4398"/>
    <cellStyle name="Comma 3 9 3 3 2 2 3" xfId="3396"/>
    <cellStyle name="Comma 3 9 3 3 2 3" xfId="1893"/>
    <cellStyle name="Comma 3 9 3 3 2 3 2" xfId="3897"/>
    <cellStyle name="Comma 3 9 3 3 2 4" xfId="2895"/>
    <cellStyle name="Comma 3 9 3 3 3" xfId="1144"/>
    <cellStyle name="Comma 3 9 3 3 3 2" xfId="2146"/>
    <cellStyle name="Comma 3 9 3 3 3 2 2" xfId="4150"/>
    <cellStyle name="Comma 3 9 3 3 3 3" xfId="3148"/>
    <cellStyle name="Comma 3 9 3 3 4" xfId="1645"/>
    <cellStyle name="Comma 3 9 3 3 4 2" xfId="3649"/>
    <cellStyle name="Comma 3 9 3 3 5" xfId="2647"/>
    <cellStyle name="Comma 3 9 3 4" xfId="764"/>
    <cellStyle name="Comma 3 9 3 4 2" xfId="1268"/>
    <cellStyle name="Comma 3 9 3 4 2 2" xfId="2270"/>
    <cellStyle name="Comma 3 9 3 4 2 2 2" xfId="4274"/>
    <cellStyle name="Comma 3 9 3 4 2 3" xfId="3272"/>
    <cellStyle name="Comma 3 9 3 4 3" xfId="1769"/>
    <cellStyle name="Comma 3 9 3 4 3 2" xfId="3773"/>
    <cellStyle name="Comma 3 9 3 4 4" xfId="2771"/>
    <cellStyle name="Comma 3 9 3 5" xfId="1020"/>
    <cellStyle name="Comma 3 9 3 5 2" xfId="2022"/>
    <cellStyle name="Comma 3 9 3 5 2 2" xfId="4026"/>
    <cellStyle name="Comma 3 9 3 5 3" xfId="3024"/>
    <cellStyle name="Comma 3 9 3 6" xfId="1521"/>
    <cellStyle name="Comma 3 9 3 6 2" xfId="3525"/>
    <cellStyle name="Comma 3 9 3 7" xfId="2523"/>
    <cellStyle name="Comma 3 9 4" xfId="545"/>
    <cellStyle name="Comma 3 9 4 2" xfId="669"/>
    <cellStyle name="Comma 3 9 4 2 2" xfId="917"/>
    <cellStyle name="Comma 3 9 4 2 2 2" xfId="1421"/>
    <cellStyle name="Comma 3 9 4 2 2 2 2" xfId="2423"/>
    <cellStyle name="Comma 3 9 4 2 2 2 2 2" xfId="4427"/>
    <cellStyle name="Comma 3 9 4 2 2 2 3" xfId="3425"/>
    <cellStyle name="Comma 3 9 4 2 2 3" xfId="1922"/>
    <cellStyle name="Comma 3 9 4 2 2 3 2" xfId="3926"/>
    <cellStyle name="Comma 3 9 4 2 2 4" xfId="2924"/>
    <cellStyle name="Comma 3 9 4 2 3" xfId="1173"/>
    <cellStyle name="Comma 3 9 4 2 3 2" xfId="2175"/>
    <cellStyle name="Comma 3 9 4 2 3 2 2" xfId="4179"/>
    <cellStyle name="Comma 3 9 4 2 3 3" xfId="3177"/>
    <cellStyle name="Comma 3 9 4 2 4" xfId="1674"/>
    <cellStyle name="Comma 3 9 4 2 4 2" xfId="3678"/>
    <cellStyle name="Comma 3 9 4 2 5" xfId="2676"/>
    <cellStyle name="Comma 3 9 4 3" xfId="793"/>
    <cellStyle name="Comma 3 9 4 3 2" xfId="1297"/>
    <cellStyle name="Comma 3 9 4 3 2 2" xfId="2299"/>
    <cellStyle name="Comma 3 9 4 3 2 2 2" xfId="4303"/>
    <cellStyle name="Comma 3 9 4 3 2 3" xfId="3301"/>
    <cellStyle name="Comma 3 9 4 3 3" xfId="1798"/>
    <cellStyle name="Comma 3 9 4 3 3 2" xfId="3802"/>
    <cellStyle name="Comma 3 9 4 3 4" xfId="2800"/>
    <cellStyle name="Comma 3 9 4 4" xfId="1049"/>
    <cellStyle name="Comma 3 9 4 4 2" xfId="2051"/>
    <cellStyle name="Comma 3 9 4 4 2 2" xfId="4055"/>
    <cellStyle name="Comma 3 9 4 4 3" xfId="3053"/>
    <cellStyle name="Comma 3 9 4 5" xfId="1550"/>
    <cellStyle name="Comma 3 9 4 5 2" xfId="3554"/>
    <cellStyle name="Comma 3 9 4 6" xfId="2552"/>
    <cellStyle name="Comma 3 9 5" xfId="598"/>
    <cellStyle name="Comma 3 9 5 2" xfId="846"/>
    <cellStyle name="Comma 3 9 5 2 2" xfId="1350"/>
    <cellStyle name="Comma 3 9 5 2 2 2" xfId="2352"/>
    <cellStyle name="Comma 3 9 5 2 2 2 2" xfId="4356"/>
    <cellStyle name="Comma 3 9 5 2 2 3" xfId="3354"/>
    <cellStyle name="Comma 3 9 5 2 3" xfId="1851"/>
    <cellStyle name="Comma 3 9 5 2 3 2" xfId="3855"/>
    <cellStyle name="Comma 3 9 5 2 4" xfId="2853"/>
    <cellStyle name="Comma 3 9 5 3" xfId="1102"/>
    <cellStyle name="Comma 3 9 5 3 2" xfId="2104"/>
    <cellStyle name="Comma 3 9 5 3 2 2" xfId="4108"/>
    <cellStyle name="Comma 3 9 5 3 3" xfId="3106"/>
    <cellStyle name="Comma 3 9 5 4" xfId="1603"/>
    <cellStyle name="Comma 3 9 5 4 2" xfId="3607"/>
    <cellStyle name="Comma 3 9 5 5" xfId="2605"/>
    <cellStyle name="Comma 3 9 6" xfId="722"/>
    <cellStyle name="Comma 3 9 6 2" xfId="1226"/>
    <cellStyle name="Comma 3 9 6 2 2" xfId="2228"/>
    <cellStyle name="Comma 3 9 6 2 2 2" xfId="4232"/>
    <cellStyle name="Comma 3 9 6 2 3" xfId="3230"/>
    <cellStyle name="Comma 3 9 6 3" xfId="1727"/>
    <cellStyle name="Comma 3 9 6 3 2" xfId="3731"/>
    <cellStyle name="Comma 3 9 6 4" xfId="2729"/>
    <cellStyle name="Comma 3 9 7" xfId="978"/>
    <cellStyle name="Comma 3 9 7 2" xfId="1980"/>
    <cellStyle name="Comma 3 9 7 2 2" xfId="3984"/>
    <cellStyle name="Comma 3 9 7 3" xfId="2982"/>
    <cellStyle name="Comma 3 9 8" xfId="1479"/>
    <cellStyle name="Comma 3 9 8 2" xfId="3483"/>
    <cellStyle name="Comma 3 9 9" xfId="2481"/>
    <cellStyle name="Comma 4" xfId="201"/>
    <cellStyle name="Comma 4 2" xfId="6"/>
    <cellStyle name="Comma 4 3" xfId="202"/>
    <cellStyle name="Comma 5" xfId="203"/>
    <cellStyle name="Comma 6" xfId="204"/>
    <cellStyle name="Comma 6 2" xfId="205"/>
    <cellStyle name="Comma 7" xfId="206"/>
    <cellStyle name="Comma 7 2" xfId="207"/>
    <cellStyle name="Comma 8" xfId="208"/>
    <cellStyle name="Comma 8 2" xfId="209"/>
    <cellStyle name="Comma 9" xfId="210"/>
    <cellStyle name="CommaBlank" xfId="211"/>
    <cellStyle name="CommaBlank 2" xfId="212"/>
    <cellStyle name="Currency" xfId="457" builtinId="4"/>
    <cellStyle name="Currency 10" xfId="213"/>
    <cellStyle name="Currency 10 2" xfId="476"/>
    <cellStyle name="Currency 10 2 2" xfId="549"/>
    <cellStyle name="Currency 10 2 2 2" xfId="673"/>
    <cellStyle name="Currency 10 2 2 2 2" xfId="921"/>
    <cellStyle name="Currency 10 2 2 2 2 2" xfId="1425"/>
    <cellStyle name="Currency 10 2 2 2 2 2 2" xfId="2427"/>
    <cellStyle name="Currency 10 2 2 2 2 2 2 2" xfId="4431"/>
    <cellStyle name="Currency 10 2 2 2 2 2 3" xfId="3429"/>
    <cellStyle name="Currency 10 2 2 2 2 3" xfId="1926"/>
    <cellStyle name="Currency 10 2 2 2 2 3 2" xfId="3930"/>
    <cellStyle name="Currency 10 2 2 2 2 4" xfId="2928"/>
    <cellStyle name="Currency 10 2 2 2 3" xfId="1177"/>
    <cellStyle name="Currency 10 2 2 2 3 2" xfId="2179"/>
    <cellStyle name="Currency 10 2 2 2 3 2 2" xfId="4183"/>
    <cellStyle name="Currency 10 2 2 2 3 3" xfId="3181"/>
    <cellStyle name="Currency 10 2 2 2 4" xfId="1678"/>
    <cellStyle name="Currency 10 2 2 2 4 2" xfId="3682"/>
    <cellStyle name="Currency 10 2 2 2 5" xfId="2680"/>
    <cellStyle name="Currency 10 2 2 3" xfId="797"/>
    <cellStyle name="Currency 10 2 2 3 2" xfId="1301"/>
    <cellStyle name="Currency 10 2 2 3 2 2" xfId="2303"/>
    <cellStyle name="Currency 10 2 2 3 2 2 2" xfId="4307"/>
    <cellStyle name="Currency 10 2 2 3 2 3" xfId="3305"/>
    <cellStyle name="Currency 10 2 2 3 3" xfId="1802"/>
    <cellStyle name="Currency 10 2 2 3 3 2" xfId="3806"/>
    <cellStyle name="Currency 10 2 2 3 4" xfId="2804"/>
    <cellStyle name="Currency 10 2 2 4" xfId="1053"/>
    <cellStyle name="Currency 10 2 2 4 2" xfId="2055"/>
    <cellStyle name="Currency 10 2 2 4 2 2" xfId="4059"/>
    <cellStyle name="Currency 10 2 2 4 3" xfId="3057"/>
    <cellStyle name="Currency 10 2 2 5" xfId="1554"/>
    <cellStyle name="Currency 10 2 2 5 2" xfId="3558"/>
    <cellStyle name="Currency 10 2 2 6" xfId="2556"/>
    <cellStyle name="Currency 10 2 3" xfId="606"/>
    <cellStyle name="Currency 10 2 3 2" xfId="854"/>
    <cellStyle name="Currency 10 2 3 2 2" xfId="1358"/>
    <cellStyle name="Currency 10 2 3 2 2 2" xfId="2360"/>
    <cellStyle name="Currency 10 2 3 2 2 2 2" xfId="4364"/>
    <cellStyle name="Currency 10 2 3 2 2 3" xfId="3362"/>
    <cellStyle name="Currency 10 2 3 2 3" xfId="1859"/>
    <cellStyle name="Currency 10 2 3 2 3 2" xfId="3863"/>
    <cellStyle name="Currency 10 2 3 2 4" xfId="2861"/>
    <cellStyle name="Currency 10 2 3 3" xfId="1110"/>
    <cellStyle name="Currency 10 2 3 3 2" xfId="2112"/>
    <cellStyle name="Currency 10 2 3 3 2 2" xfId="4116"/>
    <cellStyle name="Currency 10 2 3 3 3" xfId="3114"/>
    <cellStyle name="Currency 10 2 3 4" xfId="1611"/>
    <cellStyle name="Currency 10 2 3 4 2" xfId="3615"/>
    <cellStyle name="Currency 10 2 3 5" xfId="2613"/>
    <cellStyle name="Currency 10 2 4" xfId="730"/>
    <cellStyle name="Currency 10 2 4 2" xfId="1234"/>
    <cellStyle name="Currency 10 2 4 2 2" xfId="2236"/>
    <cellStyle name="Currency 10 2 4 2 2 2" xfId="4240"/>
    <cellStyle name="Currency 10 2 4 2 3" xfId="3238"/>
    <cellStyle name="Currency 10 2 4 3" xfId="1735"/>
    <cellStyle name="Currency 10 2 4 3 2" xfId="3739"/>
    <cellStyle name="Currency 10 2 4 4" xfId="2737"/>
    <cellStyle name="Currency 10 2 5" xfId="986"/>
    <cellStyle name="Currency 10 2 5 2" xfId="1988"/>
    <cellStyle name="Currency 10 2 5 2 2" xfId="3992"/>
    <cellStyle name="Currency 10 2 5 3" xfId="2990"/>
    <cellStyle name="Currency 10 2 6" xfId="1487"/>
    <cellStyle name="Currency 10 2 6 2" xfId="3491"/>
    <cellStyle name="Currency 10 2 7" xfId="2489"/>
    <cellStyle name="Currency 10 3" xfId="502"/>
    <cellStyle name="Currency 10 3 2" xfId="550"/>
    <cellStyle name="Currency 10 3 2 2" xfId="674"/>
    <cellStyle name="Currency 10 3 2 2 2" xfId="922"/>
    <cellStyle name="Currency 10 3 2 2 2 2" xfId="1426"/>
    <cellStyle name="Currency 10 3 2 2 2 2 2" xfId="2428"/>
    <cellStyle name="Currency 10 3 2 2 2 2 2 2" xfId="4432"/>
    <cellStyle name="Currency 10 3 2 2 2 2 3" xfId="3430"/>
    <cellStyle name="Currency 10 3 2 2 2 3" xfId="1927"/>
    <cellStyle name="Currency 10 3 2 2 2 3 2" xfId="3931"/>
    <cellStyle name="Currency 10 3 2 2 2 4" xfId="2929"/>
    <cellStyle name="Currency 10 3 2 2 3" xfId="1178"/>
    <cellStyle name="Currency 10 3 2 2 3 2" xfId="2180"/>
    <cellStyle name="Currency 10 3 2 2 3 2 2" xfId="4184"/>
    <cellStyle name="Currency 10 3 2 2 3 3" xfId="3182"/>
    <cellStyle name="Currency 10 3 2 2 4" xfId="1679"/>
    <cellStyle name="Currency 10 3 2 2 4 2" xfId="3683"/>
    <cellStyle name="Currency 10 3 2 2 5" xfId="2681"/>
    <cellStyle name="Currency 10 3 2 3" xfId="798"/>
    <cellStyle name="Currency 10 3 2 3 2" xfId="1302"/>
    <cellStyle name="Currency 10 3 2 3 2 2" xfId="2304"/>
    <cellStyle name="Currency 10 3 2 3 2 2 2" xfId="4308"/>
    <cellStyle name="Currency 10 3 2 3 2 3" xfId="3306"/>
    <cellStyle name="Currency 10 3 2 3 3" xfId="1803"/>
    <cellStyle name="Currency 10 3 2 3 3 2" xfId="3807"/>
    <cellStyle name="Currency 10 3 2 3 4" xfId="2805"/>
    <cellStyle name="Currency 10 3 2 4" xfId="1054"/>
    <cellStyle name="Currency 10 3 2 4 2" xfId="2056"/>
    <cellStyle name="Currency 10 3 2 4 2 2" xfId="4060"/>
    <cellStyle name="Currency 10 3 2 4 3" xfId="3058"/>
    <cellStyle name="Currency 10 3 2 5" xfId="1555"/>
    <cellStyle name="Currency 10 3 2 5 2" xfId="3559"/>
    <cellStyle name="Currency 10 3 2 6" xfId="2557"/>
    <cellStyle name="Currency 10 3 3" xfId="626"/>
    <cellStyle name="Currency 10 3 3 2" xfId="874"/>
    <cellStyle name="Currency 10 3 3 2 2" xfId="1378"/>
    <cellStyle name="Currency 10 3 3 2 2 2" xfId="2380"/>
    <cellStyle name="Currency 10 3 3 2 2 2 2" xfId="4384"/>
    <cellStyle name="Currency 10 3 3 2 2 3" xfId="3382"/>
    <cellStyle name="Currency 10 3 3 2 3" xfId="1879"/>
    <cellStyle name="Currency 10 3 3 2 3 2" xfId="3883"/>
    <cellStyle name="Currency 10 3 3 2 4" xfId="2881"/>
    <cellStyle name="Currency 10 3 3 3" xfId="1130"/>
    <cellStyle name="Currency 10 3 3 3 2" xfId="2132"/>
    <cellStyle name="Currency 10 3 3 3 2 2" xfId="4136"/>
    <cellStyle name="Currency 10 3 3 3 3" xfId="3134"/>
    <cellStyle name="Currency 10 3 3 4" xfId="1631"/>
    <cellStyle name="Currency 10 3 3 4 2" xfId="3635"/>
    <cellStyle name="Currency 10 3 3 5" xfId="2633"/>
    <cellStyle name="Currency 10 3 4" xfId="750"/>
    <cellStyle name="Currency 10 3 4 2" xfId="1254"/>
    <cellStyle name="Currency 10 3 4 2 2" xfId="2256"/>
    <cellStyle name="Currency 10 3 4 2 2 2" xfId="4260"/>
    <cellStyle name="Currency 10 3 4 2 3" xfId="3258"/>
    <cellStyle name="Currency 10 3 4 3" xfId="1755"/>
    <cellStyle name="Currency 10 3 4 3 2" xfId="3759"/>
    <cellStyle name="Currency 10 3 4 4" xfId="2757"/>
    <cellStyle name="Currency 10 3 5" xfId="1006"/>
    <cellStyle name="Currency 10 3 5 2" xfId="2008"/>
    <cellStyle name="Currency 10 3 5 2 2" xfId="4012"/>
    <cellStyle name="Currency 10 3 5 3" xfId="3010"/>
    <cellStyle name="Currency 10 3 6" xfId="1507"/>
    <cellStyle name="Currency 10 3 6 2" xfId="3511"/>
    <cellStyle name="Currency 10 3 7" xfId="2509"/>
    <cellStyle name="Currency 10 4" xfId="548"/>
    <cellStyle name="Currency 10 4 2" xfId="672"/>
    <cellStyle name="Currency 10 4 2 2" xfId="920"/>
    <cellStyle name="Currency 10 4 2 2 2" xfId="1424"/>
    <cellStyle name="Currency 10 4 2 2 2 2" xfId="2426"/>
    <cellStyle name="Currency 10 4 2 2 2 2 2" xfId="4430"/>
    <cellStyle name="Currency 10 4 2 2 2 3" xfId="3428"/>
    <cellStyle name="Currency 10 4 2 2 3" xfId="1925"/>
    <cellStyle name="Currency 10 4 2 2 3 2" xfId="3929"/>
    <cellStyle name="Currency 10 4 2 2 4" xfId="2927"/>
    <cellStyle name="Currency 10 4 2 3" xfId="1176"/>
    <cellStyle name="Currency 10 4 2 3 2" xfId="2178"/>
    <cellStyle name="Currency 10 4 2 3 2 2" xfId="4182"/>
    <cellStyle name="Currency 10 4 2 3 3" xfId="3180"/>
    <cellStyle name="Currency 10 4 2 4" xfId="1677"/>
    <cellStyle name="Currency 10 4 2 4 2" xfId="3681"/>
    <cellStyle name="Currency 10 4 2 5" xfId="2679"/>
    <cellStyle name="Currency 10 4 3" xfId="796"/>
    <cellStyle name="Currency 10 4 3 2" xfId="1300"/>
    <cellStyle name="Currency 10 4 3 2 2" xfId="2302"/>
    <cellStyle name="Currency 10 4 3 2 2 2" xfId="4306"/>
    <cellStyle name="Currency 10 4 3 2 3" xfId="3304"/>
    <cellStyle name="Currency 10 4 3 3" xfId="1801"/>
    <cellStyle name="Currency 10 4 3 3 2" xfId="3805"/>
    <cellStyle name="Currency 10 4 3 4" xfId="2803"/>
    <cellStyle name="Currency 10 4 4" xfId="1052"/>
    <cellStyle name="Currency 10 4 4 2" xfId="2054"/>
    <cellStyle name="Currency 10 4 4 2 2" xfId="4058"/>
    <cellStyle name="Currency 10 4 4 3" xfId="3056"/>
    <cellStyle name="Currency 10 4 5" xfId="1553"/>
    <cellStyle name="Currency 10 4 5 2" xfId="3557"/>
    <cellStyle name="Currency 10 4 6" xfId="2555"/>
    <cellStyle name="Currency 10 5" xfId="584"/>
    <cellStyle name="Currency 10 5 2" xfId="832"/>
    <cellStyle name="Currency 10 5 2 2" xfId="1336"/>
    <cellStyle name="Currency 10 5 2 2 2" xfId="2338"/>
    <cellStyle name="Currency 10 5 2 2 2 2" xfId="4342"/>
    <cellStyle name="Currency 10 5 2 2 3" xfId="3340"/>
    <cellStyle name="Currency 10 5 2 3" xfId="1837"/>
    <cellStyle name="Currency 10 5 2 3 2" xfId="3841"/>
    <cellStyle name="Currency 10 5 2 4" xfId="2839"/>
    <cellStyle name="Currency 10 5 3" xfId="1088"/>
    <cellStyle name="Currency 10 5 3 2" xfId="2090"/>
    <cellStyle name="Currency 10 5 3 2 2" xfId="4094"/>
    <cellStyle name="Currency 10 5 3 3" xfId="3092"/>
    <cellStyle name="Currency 10 5 4" xfId="1589"/>
    <cellStyle name="Currency 10 5 4 2" xfId="3593"/>
    <cellStyle name="Currency 10 5 5" xfId="2591"/>
    <cellStyle name="Currency 10 6" xfId="708"/>
    <cellStyle name="Currency 10 6 2" xfId="1212"/>
    <cellStyle name="Currency 10 6 2 2" xfId="2214"/>
    <cellStyle name="Currency 10 6 2 2 2" xfId="4218"/>
    <cellStyle name="Currency 10 6 2 3" xfId="3216"/>
    <cellStyle name="Currency 10 6 3" xfId="1713"/>
    <cellStyle name="Currency 10 6 3 2" xfId="3717"/>
    <cellStyle name="Currency 10 6 4" xfId="2715"/>
    <cellStyle name="Currency 10 7" xfId="964"/>
    <cellStyle name="Currency 10 7 2" xfId="1966"/>
    <cellStyle name="Currency 10 7 2 2" xfId="3970"/>
    <cellStyle name="Currency 10 7 3" xfId="2968"/>
    <cellStyle name="Currency 10 8" xfId="1465"/>
    <cellStyle name="Currency 10 8 2" xfId="3469"/>
    <cellStyle name="Currency 10 9" xfId="2467"/>
    <cellStyle name="Currency 2" xfId="214"/>
    <cellStyle name="Currency 2 2" xfId="215"/>
    <cellStyle name="Currency 2 3" xfId="450"/>
    <cellStyle name="Currency 3" xfId="216"/>
    <cellStyle name="Currency 3 2" xfId="217"/>
    <cellStyle name="Currency 3 3" xfId="218"/>
    <cellStyle name="Currency 3 4" xfId="219"/>
    <cellStyle name="Currency 3 5" xfId="477"/>
    <cellStyle name="Currency 4" xfId="220"/>
    <cellStyle name="Currency 4 2" xfId="221"/>
    <cellStyle name="Currency 4 3" xfId="222"/>
    <cellStyle name="Currency 4 4" xfId="223"/>
    <cellStyle name="Currency 5" xfId="224"/>
    <cellStyle name="Currency 6" xfId="225"/>
    <cellStyle name="Currency 7" xfId="226"/>
    <cellStyle name="Currency 8" xfId="227"/>
    <cellStyle name="Currency 9" xfId="228"/>
    <cellStyle name="Explanatory Text 2" xfId="229"/>
    <cellStyle name="Explanatory Text 3" xfId="230"/>
    <cellStyle name="Explanatory Text 4" xfId="231"/>
    <cellStyle name="Explanatory Text 5" xfId="232"/>
    <cellStyle name="Explanatory Text 6" xfId="233"/>
    <cellStyle name="Good 2" xfId="234"/>
    <cellStyle name="Good 3" xfId="235"/>
    <cellStyle name="Good 4" xfId="236"/>
    <cellStyle name="Good 5" xfId="237"/>
    <cellStyle name="Good 6" xfId="238"/>
    <cellStyle name="Heading 1 2" xfId="239"/>
    <cellStyle name="Heading 1 3" xfId="240"/>
    <cellStyle name="Heading 1 4" xfId="241"/>
    <cellStyle name="Heading 1 5" xfId="242"/>
    <cellStyle name="Heading 1 6" xfId="243"/>
    <cellStyle name="Heading 1 7" xfId="244"/>
    <cellStyle name="Heading 1 8" xfId="245"/>
    <cellStyle name="Heading 2 2" xfId="246"/>
    <cellStyle name="Heading 2 3" xfId="247"/>
    <cellStyle name="Heading 2 4" xfId="248"/>
    <cellStyle name="Heading 2 5" xfId="249"/>
    <cellStyle name="Heading 2 6" xfId="250"/>
    <cellStyle name="Heading 2 7" xfId="251"/>
    <cellStyle name="Heading 2 8" xfId="252"/>
    <cellStyle name="Heading 3 2" xfId="253"/>
    <cellStyle name="Heading 3 3" xfId="254"/>
    <cellStyle name="Heading 3 4" xfId="255"/>
    <cellStyle name="Heading 3 5" xfId="256"/>
    <cellStyle name="Heading 3 6" xfId="257"/>
    <cellStyle name="Heading 3 7" xfId="258"/>
    <cellStyle name="Heading 3 8" xfId="259"/>
    <cellStyle name="Heading 4 2" xfId="260"/>
    <cellStyle name="Heading 4 3" xfId="261"/>
    <cellStyle name="Heading 4 4" xfId="262"/>
    <cellStyle name="Heading 4 5" xfId="263"/>
    <cellStyle name="Heading 4 6" xfId="264"/>
    <cellStyle name="Heading 4 7" xfId="265"/>
    <cellStyle name="Heading 4 8" xfId="266"/>
    <cellStyle name="Input 2" xfId="267"/>
    <cellStyle name="Input 3" xfId="268"/>
    <cellStyle name="Input 4" xfId="269"/>
    <cellStyle name="Input 5" xfId="270"/>
    <cellStyle name="Input 6" xfId="271"/>
    <cellStyle name="kirkdollars" xfId="272"/>
    <cellStyle name="Lines" xfId="959"/>
    <cellStyle name="Linked Cell 2" xfId="273"/>
    <cellStyle name="Linked Cell 3" xfId="274"/>
    <cellStyle name="Linked Cell 4" xfId="275"/>
    <cellStyle name="Linked Cell 5" xfId="276"/>
    <cellStyle name="Linked Cell 6" xfId="277"/>
    <cellStyle name="Neutral 2" xfId="278"/>
    <cellStyle name="Neutral 3" xfId="279"/>
    <cellStyle name="Neutral 4" xfId="280"/>
    <cellStyle name="Neutral 5" xfId="281"/>
    <cellStyle name="Neutral 6" xfId="282"/>
    <cellStyle name="Normal" xfId="0" builtinId="0"/>
    <cellStyle name="Normal 10" xfId="283"/>
    <cellStyle name="Normal 11" xfId="284"/>
    <cellStyle name="Normal 12" xfId="285"/>
    <cellStyle name="Normal 13" xfId="286"/>
    <cellStyle name="Normal 132" xfId="961"/>
    <cellStyle name="Normal 14" xfId="287"/>
    <cellStyle name="Normal 15" xfId="288"/>
    <cellStyle name="Normal 15 2" xfId="478"/>
    <cellStyle name="Normal 15 2 2" xfId="552"/>
    <cellStyle name="Normal 15 2 2 2" xfId="676"/>
    <cellStyle name="Normal 15 2 2 2 2" xfId="924"/>
    <cellStyle name="Normal 15 2 2 2 2 2" xfId="1428"/>
    <cellStyle name="Normal 15 2 2 2 2 2 2" xfId="2430"/>
    <cellStyle name="Normal 15 2 2 2 2 2 2 2" xfId="4434"/>
    <cellStyle name="Normal 15 2 2 2 2 2 3" xfId="3432"/>
    <cellStyle name="Normal 15 2 2 2 2 3" xfId="1929"/>
    <cellStyle name="Normal 15 2 2 2 2 3 2" xfId="3933"/>
    <cellStyle name="Normal 15 2 2 2 2 4" xfId="2931"/>
    <cellStyle name="Normal 15 2 2 2 3" xfId="1180"/>
    <cellStyle name="Normal 15 2 2 2 3 2" xfId="2182"/>
    <cellStyle name="Normal 15 2 2 2 3 2 2" xfId="4186"/>
    <cellStyle name="Normal 15 2 2 2 3 3" xfId="3184"/>
    <cellStyle name="Normal 15 2 2 2 4" xfId="1681"/>
    <cellStyle name="Normal 15 2 2 2 4 2" xfId="3685"/>
    <cellStyle name="Normal 15 2 2 2 5" xfId="2683"/>
    <cellStyle name="Normal 15 2 2 3" xfId="800"/>
    <cellStyle name="Normal 15 2 2 3 2" xfId="1304"/>
    <cellStyle name="Normal 15 2 2 3 2 2" xfId="2306"/>
    <cellStyle name="Normal 15 2 2 3 2 2 2" xfId="4310"/>
    <cellStyle name="Normal 15 2 2 3 2 3" xfId="3308"/>
    <cellStyle name="Normal 15 2 2 3 3" xfId="1805"/>
    <cellStyle name="Normal 15 2 2 3 3 2" xfId="3809"/>
    <cellStyle name="Normal 15 2 2 3 4" xfId="2807"/>
    <cellStyle name="Normal 15 2 2 4" xfId="1056"/>
    <cellStyle name="Normal 15 2 2 4 2" xfId="2058"/>
    <cellStyle name="Normal 15 2 2 4 2 2" xfId="4062"/>
    <cellStyle name="Normal 15 2 2 4 3" xfId="3060"/>
    <cellStyle name="Normal 15 2 2 5" xfId="1557"/>
    <cellStyle name="Normal 15 2 2 5 2" xfId="3561"/>
    <cellStyle name="Normal 15 2 2 6" xfId="2559"/>
    <cellStyle name="Normal 15 2 3" xfId="607"/>
    <cellStyle name="Normal 15 2 3 2" xfId="855"/>
    <cellStyle name="Normal 15 2 3 2 2" xfId="1359"/>
    <cellStyle name="Normal 15 2 3 2 2 2" xfId="2361"/>
    <cellStyle name="Normal 15 2 3 2 2 2 2" xfId="4365"/>
    <cellStyle name="Normal 15 2 3 2 2 3" xfId="3363"/>
    <cellStyle name="Normal 15 2 3 2 3" xfId="1860"/>
    <cellStyle name="Normal 15 2 3 2 3 2" xfId="3864"/>
    <cellStyle name="Normal 15 2 3 2 4" xfId="2862"/>
    <cellStyle name="Normal 15 2 3 3" xfId="1111"/>
    <cellStyle name="Normal 15 2 3 3 2" xfId="2113"/>
    <cellStyle name="Normal 15 2 3 3 2 2" xfId="4117"/>
    <cellStyle name="Normal 15 2 3 3 3" xfId="3115"/>
    <cellStyle name="Normal 15 2 3 4" xfId="1612"/>
    <cellStyle name="Normal 15 2 3 4 2" xfId="3616"/>
    <cellStyle name="Normal 15 2 3 5" xfId="2614"/>
    <cellStyle name="Normal 15 2 4" xfId="731"/>
    <cellStyle name="Normal 15 2 4 2" xfId="1235"/>
    <cellStyle name="Normal 15 2 4 2 2" xfId="2237"/>
    <cellStyle name="Normal 15 2 4 2 2 2" xfId="4241"/>
    <cellStyle name="Normal 15 2 4 2 3" xfId="3239"/>
    <cellStyle name="Normal 15 2 4 3" xfId="1736"/>
    <cellStyle name="Normal 15 2 4 3 2" xfId="3740"/>
    <cellStyle name="Normal 15 2 4 4" xfId="2738"/>
    <cellStyle name="Normal 15 2 5" xfId="987"/>
    <cellStyle name="Normal 15 2 5 2" xfId="1989"/>
    <cellStyle name="Normal 15 2 5 2 2" xfId="3993"/>
    <cellStyle name="Normal 15 2 5 3" xfId="2991"/>
    <cellStyle name="Normal 15 2 6" xfId="1488"/>
    <cellStyle name="Normal 15 2 6 2" xfId="3492"/>
    <cellStyle name="Normal 15 2 7" xfId="2490"/>
    <cellStyle name="Normal 15 3" xfId="503"/>
    <cellStyle name="Normal 15 3 2" xfId="553"/>
    <cellStyle name="Normal 15 3 2 2" xfId="677"/>
    <cellStyle name="Normal 15 3 2 2 2" xfId="925"/>
    <cellStyle name="Normal 15 3 2 2 2 2" xfId="1429"/>
    <cellStyle name="Normal 15 3 2 2 2 2 2" xfId="2431"/>
    <cellStyle name="Normal 15 3 2 2 2 2 2 2" xfId="4435"/>
    <cellStyle name="Normal 15 3 2 2 2 2 3" xfId="3433"/>
    <cellStyle name="Normal 15 3 2 2 2 3" xfId="1930"/>
    <cellStyle name="Normal 15 3 2 2 2 3 2" xfId="3934"/>
    <cellStyle name="Normal 15 3 2 2 2 4" xfId="2932"/>
    <cellStyle name="Normal 15 3 2 2 3" xfId="1181"/>
    <cellStyle name="Normal 15 3 2 2 3 2" xfId="2183"/>
    <cellStyle name="Normal 15 3 2 2 3 2 2" xfId="4187"/>
    <cellStyle name="Normal 15 3 2 2 3 3" xfId="3185"/>
    <cellStyle name="Normal 15 3 2 2 4" xfId="1682"/>
    <cellStyle name="Normal 15 3 2 2 4 2" xfId="3686"/>
    <cellStyle name="Normal 15 3 2 2 5" xfId="2684"/>
    <cellStyle name="Normal 15 3 2 3" xfId="801"/>
    <cellStyle name="Normal 15 3 2 3 2" xfId="1305"/>
    <cellStyle name="Normal 15 3 2 3 2 2" xfId="2307"/>
    <cellStyle name="Normal 15 3 2 3 2 2 2" xfId="4311"/>
    <cellStyle name="Normal 15 3 2 3 2 3" xfId="3309"/>
    <cellStyle name="Normal 15 3 2 3 3" xfId="1806"/>
    <cellStyle name="Normal 15 3 2 3 3 2" xfId="3810"/>
    <cellStyle name="Normal 15 3 2 3 4" xfId="2808"/>
    <cellStyle name="Normal 15 3 2 4" xfId="1057"/>
    <cellStyle name="Normal 15 3 2 4 2" xfId="2059"/>
    <cellStyle name="Normal 15 3 2 4 2 2" xfId="4063"/>
    <cellStyle name="Normal 15 3 2 4 3" xfId="3061"/>
    <cellStyle name="Normal 15 3 2 5" xfId="1558"/>
    <cellStyle name="Normal 15 3 2 5 2" xfId="3562"/>
    <cellStyle name="Normal 15 3 2 6" xfId="2560"/>
    <cellStyle name="Normal 15 3 3" xfId="627"/>
    <cellStyle name="Normal 15 3 3 2" xfId="875"/>
    <cellStyle name="Normal 15 3 3 2 2" xfId="1379"/>
    <cellStyle name="Normal 15 3 3 2 2 2" xfId="2381"/>
    <cellStyle name="Normal 15 3 3 2 2 2 2" xfId="4385"/>
    <cellStyle name="Normal 15 3 3 2 2 3" xfId="3383"/>
    <cellStyle name="Normal 15 3 3 2 3" xfId="1880"/>
    <cellStyle name="Normal 15 3 3 2 3 2" xfId="3884"/>
    <cellStyle name="Normal 15 3 3 2 4" xfId="2882"/>
    <cellStyle name="Normal 15 3 3 3" xfId="1131"/>
    <cellStyle name="Normal 15 3 3 3 2" xfId="2133"/>
    <cellStyle name="Normal 15 3 3 3 2 2" xfId="4137"/>
    <cellStyle name="Normal 15 3 3 3 3" xfId="3135"/>
    <cellStyle name="Normal 15 3 3 4" xfId="1632"/>
    <cellStyle name="Normal 15 3 3 4 2" xfId="3636"/>
    <cellStyle name="Normal 15 3 3 5" xfId="2634"/>
    <cellStyle name="Normal 15 3 4" xfId="751"/>
    <cellStyle name="Normal 15 3 4 2" xfId="1255"/>
    <cellStyle name="Normal 15 3 4 2 2" xfId="2257"/>
    <cellStyle name="Normal 15 3 4 2 2 2" xfId="4261"/>
    <cellStyle name="Normal 15 3 4 2 3" xfId="3259"/>
    <cellStyle name="Normal 15 3 4 3" xfId="1756"/>
    <cellStyle name="Normal 15 3 4 3 2" xfId="3760"/>
    <cellStyle name="Normal 15 3 4 4" xfId="2758"/>
    <cellStyle name="Normal 15 3 5" xfId="1007"/>
    <cellStyle name="Normal 15 3 5 2" xfId="2009"/>
    <cellStyle name="Normal 15 3 5 2 2" xfId="4013"/>
    <cellStyle name="Normal 15 3 5 3" xfId="3011"/>
    <cellStyle name="Normal 15 3 6" xfId="1508"/>
    <cellStyle name="Normal 15 3 6 2" xfId="3512"/>
    <cellStyle name="Normal 15 3 7" xfId="2510"/>
    <cellStyle name="Normal 15 4" xfId="551"/>
    <cellStyle name="Normal 15 4 2" xfId="675"/>
    <cellStyle name="Normal 15 4 2 2" xfId="923"/>
    <cellStyle name="Normal 15 4 2 2 2" xfId="1427"/>
    <cellStyle name="Normal 15 4 2 2 2 2" xfId="2429"/>
    <cellStyle name="Normal 15 4 2 2 2 2 2" xfId="4433"/>
    <cellStyle name="Normal 15 4 2 2 2 3" xfId="3431"/>
    <cellStyle name="Normal 15 4 2 2 3" xfId="1928"/>
    <cellStyle name="Normal 15 4 2 2 3 2" xfId="3932"/>
    <cellStyle name="Normal 15 4 2 2 4" xfId="2930"/>
    <cellStyle name="Normal 15 4 2 3" xfId="1179"/>
    <cellStyle name="Normal 15 4 2 3 2" xfId="2181"/>
    <cellStyle name="Normal 15 4 2 3 2 2" xfId="4185"/>
    <cellStyle name="Normal 15 4 2 3 3" xfId="3183"/>
    <cellStyle name="Normal 15 4 2 4" xfId="1680"/>
    <cellStyle name="Normal 15 4 2 4 2" xfId="3684"/>
    <cellStyle name="Normal 15 4 2 5" xfId="2682"/>
    <cellStyle name="Normal 15 4 3" xfId="799"/>
    <cellStyle name="Normal 15 4 3 2" xfId="1303"/>
    <cellStyle name="Normal 15 4 3 2 2" xfId="2305"/>
    <cellStyle name="Normal 15 4 3 2 2 2" xfId="4309"/>
    <cellStyle name="Normal 15 4 3 2 3" xfId="3307"/>
    <cellStyle name="Normal 15 4 3 3" xfId="1804"/>
    <cellStyle name="Normal 15 4 3 3 2" xfId="3808"/>
    <cellStyle name="Normal 15 4 3 4" xfId="2806"/>
    <cellStyle name="Normal 15 4 4" xfId="1055"/>
    <cellStyle name="Normal 15 4 4 2" xfId="2057"/>
    <cellStyle name="Normal 15 4 4 2 2" xfId="4061"/>
    <cellStyle name="Normal 15 4 4 3" xfId="3059"/>
    <cellStyle name="Normal 15 4 5" xfId="1556"/>
    <cellStyle name="Normal 15 4 5 2" xfId="3560"/>
    <cellStyle name="Normal 15 4 6" xfId="2558"/>
    <cellStyle name="Normal 15 5" xfId="585"/>
    <cellStyle name="Normal 15 5 2" xfId="833"/>
    <cellStyle name="Normal 15 5 2 2" xfId="1337"/>
    <cellStyle name="Normal 15 5 2 2 2" xfId="2339"/>
    <cellStyle name="Normal 15 5 2 2 2 2" xfId="4343"/>
    <cellStyle name="Normal 15 5 2 2 3" xfId="3341"/>
    <cellStyle name="Normal 15 5 2 3" xfId="1838"/>
    <cellStyle name="Normal 15 5 2 3 2" xfId="3842"/>
    <cellStyle name="Normal 15 5 2 4" xfId="2840"/>
    <cellStyle name="Normal 15 5 3" xfId="1089"/>
    <cellStyle name="Normal 15 5 3 2" xfId="2091"/>
    <cellStyle name="Normal 15 5 3 2 2" xfId="4095"/>
    <cellStyle name="Normal 15 5 3 3" xfId="3093"/>
    <cellStyle name="Normal 15 5 4" xfId="1590"/>
    <cellStyle name="Normal 15 5 4 2" xfId="3594"/>
    <cellStyle name="Normal 15 5 5" xfId="2592"/>
    <cellStyle name="Normal 15 6" xfId="709"/>
    <cellStyle name="Normal 15 6 2" xfId="1213"/>
    <cellStyle name="Normal 15 6 2 2" xfId="2215"/>
    <cellStyle name="Normal 15 6 2 2 2" xfId="4219"/>
    <cellStyle name="Normal 15 6 2 3" xfId="3217"/>
    <cellStyle name="Normal 15 6 3" xfId="1714"/>
    <cellStyle name="Normal 15 6 3 2" xfId="3718"/>
    <cellStyle name="Normal 15 6 4" xfId="2716"/>
    <cellStyle name="Normal 15 7" xfId="965"/>
    <cellStyle name="Normal 15 7 2" xfId="1967"/>
    <cellStyle name="Normal 15 7 2 2" xfId="3971"/>
    <cellStyle name="Normal 15 7 3" xfId="2969"/>
    <cellStyle name="Normal 15 8" xfId="1466"/>
    <cellStyle name="Normal 15 8 2" xfId="3470"/>
    <cellStyle name="Normal 15 9" xfId="2468"/>
    <cellStyle name="Normal 16" xfId="289"/>
    <cellStyle name="Normal 17" xfId="290"/>
    <cellStyle name="Normal 18" xfId="291"/>
    <cellStyle name="Normal 19" xfId="292"/>
    <cellStyle name="Normal 2" xfId="293"/>
    <cellStyle name="Normal 2 2" xfId="294"/>
    <cellStyle name="Normal 2 3" xfId="3"/>
    <cellStyle name="Normal 2 3 2" xfId="956"/>
    <cellStyle name="Normal 2 3 2 2" xfId="1460"/>
    <cellStyle name="Normal 2 3 2 2 2" xfId="2462"/>
    <cellStyle name="Normal 2 3 2 2 2 2" xfId="4466"/>
    <cellStyle name="Normal 2 3 2 2 3" xfId="3464"/>
    <cellStyle name="Normal 2 3 2 3" xfId="1961"/>
    <cellStyle name="Normal 2 3 2 3 2" xfId="3965"/>
    <cellStyle name="Normal 2 3 2 4" xfId="2963"/>
    <cellStyle name="Normal 2 4" xfId="295"/>
    <cellStyle name="Normal 2_Adjustment WP" xfId="296"/>
    <cellStyle name="Normal 20" xfId="297"/>
    <cellStyle name="Normal 21" xfId="298"/>
    <cellStyle name="Normal 22" xfId="299"/>
    <cellStyle name="Normal 23" xfId="300"/>
    <cellStyle name="Normal 24" xfId="301"/>
    <cellStyle name="Normal 25" xfId="302"/>
    <cellStyle name="Normal 26" xfId="303"/>
    <cellStyle name="Normal 27" xfId="304"/>
    <cellStyle name="Normal 28" xfId="305"/>
    <cellStyle name="Normal 29" xfId="306"/>
    <cellStyle name="Normal 3" xfId="307"/>
    <cellStyle name="Normal 3 2" xfId="308"/>
    <cellStyle name="Normal 3 2 2" xfId="957"/>
    <cellStyle name="Normal 3 2 2 2" xfId="1461"/>
    <cellStyle name="Normal 3 2 2 2 2" xfId="2463"/>
    <cellStyle name="Normal 3 2 2 2 2 2" xfId="4467"/>
    <cellStyle name="Normal 3 2 2 2 3" xfId="3465"/>
    <cellStyle name="Normal 3 2 2 3" xfId="1962"/>
    <cellStyle name="Normal 3 2 2 3 2" xfId="3966"/>
    <cellStyle name="Normal 3 2 2 4" xfId="2964"/>
    <cellStyle name="Normal 3 3" xfId="309"/>
    <cellStyle name="Normal 3 4" xfId="310"/>
    <cellStyle name="Normal 3 5" xfId="449"/>
    <cellStyle name="Normal 3 6" xfId="479"/>
    <cellStyle name="Normal 3 7" xfId="958"/>
    <cellStyle name="Normal 3 7 2" xfId="1462"/>
    <cellStyle name="Normal 3 7 2 2" xfId="2464"/>
    <cellStyle name="Normal 3 7 2 2 2" xfId="4468"/>
    <cellStyle name="Normal 3 7 2 3" xfId="3466"/>
    <cellStyle name="Normal 3 7 3" xfId="1963"/>
    <cellStyle name="Normal 3 7 3 2" xfId="3967"/>
    <cellStyle name="Normal 3 7 4" xfId="2965"/>
    <cellStyle name="Normal 3_108 Summary" xfId="311"/>
    <cellStyle name="Normal 30" xfId="312"/>
    <cellStyle name="Normal 31" xfId="313"/>
    <cellStyle name="Normal 32" xfId="314"/>
    <cellStyle name="Normal 33" xfId="315"/>
    <cellStyle name="Normal 34" xfId="316"/>
    <cellStyle name="Normal 35" xfId="317"/>
    <cellStyle name="Normal 35 2" xfId="480"/>
    <cellStyle name="Normal 35 2 2" xfId="555"/>
    <cellStyle name="Normal 35 2 2 2" xfId="679"/>
    <cellStyle name="Normal 35 2 2 2 2" xfId="927"/>
    <cellStyle name="Normal 35 2 2 2 2 2" xfId="1431"/>
    <cellStyle name="Normal 35 2 2 2 2 2 2" xfId="2433"/>
    <cellStyle name="Normal 35 2 2 2 2 2 2 2" xfId="4437"/>
    <cellStyle name="Normal 35 2 2 2 2 2 3" xfId="3435"/>
    <cellStyle name="Normal 35 2 2 2 2 3" xfId="1932"/>
    <cellStyle name="Normal 35 2 2 2 2 3 2" xfId="3936"/>
    <cellStyle name="Normal 35 2 2 2 2 4" xfId="2934"/>
    <cellStyle name="Normal 35 2 2 2 3" xfId="1183"/>
    <cellStyle name="Normal 35 2 2 2 3 2" xfId="2185"/>
    <cellStyle name="Normal 35 2 2 2 3 2 2" xfId="4189"/>
    <cellStyle name="Normal 35 2 2 2 3 3" xfId="3187"/>
    <cellStyle name="Normal 35 2 2 2 4" xfId="1684"/>
    <cellStyle name="Normal 35 2 2 2 4 2" xfId="3688"/>
    <cellStyle name="Normal 35 2 2 2 5" xfId="2686"/>
    <cellStyle name="Normal 35 2 2 3" xfId="803"/>
    <cellStyle name="Normal 35 2 2 3 2" xfId="1307"/>
    <cellStyle name="Normal 35 2 2 3 2 2" xfId="2309"/>
    <cellStyle name="Normal 35 2 2 3 2 2 2" xfId="4313"/>
    <cellStyle name="Normal 35 2 2 3 2 3" xfId="3311"/>
    <cellStyle name="Normal 35 2 2 3 3" xfId="1808"/>
    <cellStyle name="Normal 35 2 2 3 3 2" xfId="3812"/>
    <cellStyle name="Normal 35 2 2 3 4" xfId="2810"/>
    <cellStyle name="Normal 35 2 2 4" xfId="1059"/>
    <cellStyle name="Normal 35 2 2 4 2" xfId="2061"/>
    <cellStyle name="Normal 35 2 2 4 2 2" xfId="4065"/>
    <cellStyle name="Normal 35 2 2 4 3" xfId="3063"/>
    <cellStyle name="Normal 35 2 2 5" xfId="1560"/>
    <cellStyle name="Normal 35 2 2 5 2" xfId="3564"/>
    <cellStyle name="Normal 35 2 2 6" xfId="2562"/>
    <cellStyle name="Normal 35 2 3" xfId="608"/>
    <cellStyle name="Normal 35 2 3 2" xfId="856"/>
    <cellStyle name="Normal 35 2 3 2 2" xfId="1360"/>
    <cellStyle name="Normal 35 2 3 2 2 2" xfId="2362"/>
    <cellStyle name="Normal 35 2 3 2 2 2 2" xfId="4366"/>
    <cellStyle name="Normal 35 2 3 2 2 3" xfId="3364"/>
    <cellStyle name="Normal 35 2 3 2 3" xfId="1861"/>
    <cellStyle name="Normal 35 2 3 2 3 2" xfId="3865"/>
    <cellStyle name="Normal 35 2 3 2 4" xfId="2863"/>
    <cellStyle name="Normal 35 2 3 3" xfId="1112"/>
    <cellStyle name="Normal 35 2 3 3 2" xfId="2114"/>
    <cellStyle name="Normal 35 2 3 3 2 2" xfId="4118"/>
    <cellStyle name="Normal 35 2 3 3 3" xfId="3116"/>
    <cellStyle name="Normal 35 2 3 4" xfId="1613"/>
    <cellStyle name="Normal 35 2 3 4 2" xfId="3617"/>
    <cellStyle name="Normal 35 2 3 5" xfId="2615"/>
    <cellStyle name="Normal 35 2 4" xfId="732"/>
    <cellStyle name="Normal 35 2 4 2" xfId="1236"/>
    <cellStyle name="Normal 35 2 4 2 2" xfId="2238"/>
    <cellStyle name="Normal 35 2 4 2 2 2" xfId="4242"/>
    <cellStyle name="Normal 35 2 4 2 3" xfId="3240"/>
    <cellStyle name="Normal 35 2 4 3" xfId="1737"/>
    <cellStyle name="Normal 35 2 4 3 2" xfId="3741"/>
    <cellStyle name="Normal 35 2 4 4" xfId="2739"/>
    <cellStyle name="Normal 35 2 5" xfId="988"/>
    <cellStyle name="Normal 35 2 5 2" xfId="1990"/>
    <cellStyle name="Normal 35 2 5 2 2" xfId="3994"/>
    <cellStyle name="Normal 35 2 5 3" xfId="2992"/>
    <cellStyle name="Normal 35 2 6" xfId="1489"/>
    <cellStyle name="Normal 35 2 6 2" xfId="3493"/>
    <cellStyle name="Normal 35 2 7" xfId="2491"/>
    <cellStyle name="Normal 35 3" xfId="504"/>
    <cellStyle name="Normal 35 3 2" xfId="556"/>
    <cellStyle name="Normal 35 3 2 2" xfId="680"/>
    <cellStyle name="Normal 35 3 2 2 2" xfId="928"/>
    <cellStyle name="Normal 35 3 2 2 2 2" xfId="1432"/>
    <cellStyle name="Normal 35 3 2 2 2 2 2" xfId="2434"/>
    <cellStyle name="Normal 35 3 2 2 2 2 2 2" xfId="4438"/>
    <cellStyle name="Normal 35 3 2 2 2 2 3" xfId="3436"/>
    <cellStyle name="Normal 35 3 2 2 2 3" xfId="1933"/>
    <cellStyle name="Normal 35 3 2 2 2 3 2" xfId="3937"/>
    <cellStyle name="Normal 35 3 2 2 2 4" xfId="2935"/>
    <cellStyle name="Normal 35 3 2 2 3" xfId="1184"/>
    <cellStyle name="Normal 35 3 2 2 3 2" xfId="2186"/>
    <cellStyle name="Normal 35 3 2 2 3 2 2" xfId="4190"/>
    <cellStyle name="Normal 35 3 2 2 3 3" xfId="3188"/>
    <cellStyle name="Normal 35 3 2 2 4" xfId="1685"/>
    <cellStyle name="Normal 35 3 2 2 4 2" xfId="3689"/>
    <cellStyle name="Normal 35 3 2 2 5" xfId="2687"/>
    <cellStyle name="Normal 35 3 2 3" xfId="804"/>
    <cellStyle name="Normal 35 3 2 3 2" xfId="1308"/>
    <cellStyle name="Normal 35 3 2 3 2 2" xfId="2310"/>
    <cellStyle name="Normal 35 3 2 3 2 2 2" xfId="4314"/>
    <cellStyle name="Normal 35 3 2 3 2 3" xfId="3312"/>
    <cellStyle name="Normal 35 3 2 3 3" xfId="1809"/>
    <cellStyle name="Normal 35 3 2 3 3 2" xfId="3813"/>
    <cellStyle name="Normal 35 3 2 3 4" xfId="2811"/>
    <cellStyle name="Normal 35 3 2 4" xfId="1060"/>
    <cellStyle name="Normal 35 3 2 4 2" xfId="2062"/>
    <cellStyle name="Normal 35 3 2 4 2 2" xfId="4066"/>
    <cellStyle name="Normal 35 3 2 4 3" xfId="3064"/>
    <cellStyle name="Normal 35 3 2 5" xfId="1561"/>
    <cellStyle name="Normal 35 3 2 5 2" xfId="3565"/>
    <cellStyle name="Normal 35 3 2 6" xfId="2563"/>
    <cellStyle name="Normal 35 3 3" xfId="628"/>
    <cellStyle name="Normal 35 3 3 2" xfId="876"/>
    <cellStyle name="Normal 35 3 3 2 2" xfId="1380"/>
    <cellStyle name="Normal 35 3 3 2 2 2" xfId="2382"/>
    <cellStyle name="Normal 35 3 3 2 2 2 2" xfId="4386"/>
    <cellStyle name="Normal 35 3 3 2 2 3" xfId="3384"/>
    <cellStyle name="Normal 35 3 3 2 3" xfId="1881"/>
    <cellStyle name="Normal 35 3 3 2 3 2" xfId="3885"/>
    <cellStyle name="Normal 35 3 3 2 4" xfId="2883"/>
    <cellStyle name="Normal 35 3 3 3" xfId="1132"/>
    <cellStyle name="Normal 35 3 3 3 2" xfId="2134"/>
    <cellStyle name="Normal 35 3 3 3 2 2" xfId="4138"/>
    <cellStyle name="Normal 35 3 3 3 3" xfId="3136"/>
    <cellStyle name="Normal 35 3 3 4" xfId="1633"/>
    <cellStyle name="Normal 35 3 3 4 2" xfId="3637"/>
    <cellStyle name="Normal 35 3 3 5" xfId="2635"/>
    <cellStyle name="Normal 35 3 4" xfId="752"/>
    <cellStyle name="Normal 35 3 4 2" xfId="1256"/>
    <cellStyle name="Normal 35 3 4 2 2" xfId="2258"/>
    <cellStyle name="Normal 35 3 4 2 2 2" xfId="4262"/>
    <cellStyle name="Normal 35 3 4 2 3" xfId="3260"/>
    <cellStyle name="Normal 35 3 4 3" xfId="1757"/>
    <cellStyle name="Normal 35 3 4 3 2" xfId="3761"/>
    <cellStyle name="Normal 35 3 4 4" xfId="2759"/>
    <cellStyle name="Normal 35 3 5" xfId="1008"/>
    <cellStyle name="Normal 35 3 5 2" xfId="2010"/>
    <cellStyle name="Normal 35 3 5 2 2" xfId="4014"/>
    <cellStyle name="Normal 35 3 5 3" xfId="3012"/>
    <cellStyle name="Normal 35 3 6" xfId="1509"/>
    <cellStyle name="Normal 35 3 6 2" xfId="3513"/>
    <cellStyle name="Normal 35 3 7" xfId="2511"/>
    <cellStyle name="Normal 35 4" xfId="554"/>
    <cellStyle name="Normal 35 4 2" xfId="678"/>
    <cellStyle name="Normal 35 4 2 2" xfId="926"/>
    <cellStyle name="Normal 35 4 2 2 2" xfId="1430"/>
    <cellStyle name="Normal 35 4 2 2 2 2" xfId="2432"/>
    <cellStyle name="Normal 35 4 2 2 2 2 2" xfId="4436"/>
    <cellStyle name="Normal 35 4 2 2 2 3" xfId="3434"/>
    <cellStyle name="Normal 35 4 2 2 3" xfId="1931"/>
    <cellStyle name="Normal 35 4 2 2 3 2" xfId="3935"/>
    <cellStyle name="Normal 35 4 2 2 4" xfId="2933"/>
    <cellStyle name="Normal 35 4 2 3" xfId="1182"/>
    <cellStyle name="Normal 35 4 2 3 2" xfId="2184"/>
    <cellStyle name="Normal 35 4 2 3 2 2" xfId="4188"/>
    <cellStyle name="Normal 35 4 2 3 3" xfId="3186"/>
    <cellStyle name="Normal 35 4 2 4" xfId="1683"/>
    <cellStyle name="Normal 35 4 2 4 2" xfId="3687"/>
    <cellStyle name="Normal 35 4 2 5" xfId="2685"/>
    <cellStyle name="Normal 35 4 3" xfId="802"/>
    <cellStyle name="Normal 35 4 3 2" xfId="1306"/>
    <cellStyle name="Normal 35 4 3 2 2" xfId="2308"/>
    <cellStyle name="Normal 35 4 3 2 2 2" xfId="4312"/>
    <cellStyle name="Normal 35 4 3 2 3" xfId="3310"/>
    <cellStyle name="Normal 35 4 3 3" xfId="1807"/>
    <cellStyle name="Normal 35 4 3 3 2" xfId="3811"/>
    <cellStyle name="Normal 35 4 3 4" xfId="2809"/>
    <cellStyle name="Normal 35 4 4" xfId="1058"/>
    <cellStyle name="Normal 35 4 4 2" xfId="2060"/>
    <cellStyle name="Normal 35 4 4 2 2" xfId="4064"/>
    <cellStyle name="Normal 35 4 4 3" xfId="3062"/>
    <cellStyle name="Normal 35 4 5" xfId="1559"/>
    <cellStyle name="Normal 35 4 5 2" xfId="3563"/>
    <cellStyle name="Normal 35 4 6" xfId="2561"/>
    <cellStyle name="Normal 35 5" xfId="586"/>
    <cellStyle name="Normal 35 5 2" xfId="834"/>
    <cellStyle name="Normal 35 5 2 2" xfId="1338"/>
    <cellStyle name="Normal 35 5 2 2 2" xfId="2340"/>
    <cellStyle name="Normal 35 5 2 2 2 2" xfId="4344"/>
    <cellStyle name="Normal 35 5 2 2 3" xfId="3342"/>
    <cellStyle name="Normal 35 5 2 3" xfId="1839"/>
    <cellStyle name="Normal 35 5 2 3 2" xfId="3843"/>
    <cellStyle name="Normal 35 5 2 4" xfId="2841"/>
    <cellStyle name="Normal 35 5 3" xfId="1090"/>
    <cellStyle name="Normal 35 5 3 2" xfId="2092"/>
    <cellStyle name="Normal 35 5 3 2 2" xfId="4096"/>
    <cellStyle name="Normal 35 5 3 3" xfId="3094"/>
    <cellStyle name="Normal 35 5 4" xfId="1591"/>
    <cellStyle name="Normal 35 5 4 2" xfId="3595"/>
    <cellStyle name="Normal 35 5 5" xfId="2593"/>
    <cellStyle name="Normal 35 6" xfId="710"/>
    <cellStyle name="Normal 35 6 2" xfId="1214"/>
    <cellStyle name="Normal 35 6 2 2" xfId="2216"/>
    <cellStyle name="Normal 35 6 2 2 2" xfId="4220"/>
    <cellStyle name="Normal 35 6 2 3" xfId="3218"/>
    <cellStyle name="Normal 35 6 3" xfId="1715"/>
    <cellStyle name="Normal 35 6 3 2" xfId="3719"/>
    <cellStyle name="Normal 35 6 4" xfId="2717"/>
    <cellStyle name="Normal 35 7" xfId="966"/>
    <cellStyle name="Normal 35 7 2" xfId="1968"/>
    <cellStyle name="Normal 35 7 2 2" xfId="3972"/>
    <cellStyle name="Normal 35 7 3" xfId="2970"/>
    <cellStyle name="Normal 35 8" xfId="1467"/>
    <cellStyle name="Normal 35 8 2" xfId="3471"/>
    <cellStyle name="Normal 35 9" xfId="2469"/>
    <cellStyle name="Normal 4" xfId="318"/>
    <cellStyle name="Normal 4 2" xfId="453"/>
    <cellStyle name="Normal 4 3" xfId="481"/>
    <cellStyle name="Normal 4 4" xfId="960"/>
    <cellStyle name="Normal 5" xfId="319"/>
    <cellStyle name="Normal 5 2" xfId="454"/>
    <cellStyle name="Normal 5 3" xfId="482"/>
    <cellStyle name="Normal 6" xfId="320"/>
    <cellStyle name="Normal 6 10" xfId="471"/>
    <cellStyle name="Normal 6 10 2" xfId="557"/>
    <cellStyle name="Normal 6 10 2 2" xfId="681"/>
    <cellStyle name="Normal 6 10 2 2 2" xfId="929"/>
    <cellStyle name="Normal 6 10 2 2 2 2" xfId="1433"/>
    <cellStyle name="Normal 6 10 2 2 2 2 2" xfId="2435"/>
    <cellStyle name="Normal 6 10 2 2 2 2 2 2" xfId="4439"/>
    <cellStyle name="Normal 6 10 2 2 2 2 3" xfId="3437"/>
    <cellStyle name="Normal 6 10 2 2 2 3" xfId="1934"/>
    <cellStyle name="Normal 6 10 2 2 2 3 2" xfId="3938"/>
    <cellStyle name="Normal 6 10 2 2 2 4" xfId="2936"/>
    <cellStyle name="Normal 6 10 2 2 3" xfId="1185"/>
    <cellStyle name="Normal 6 10 2 2 3 2" xfId="2187"/>
    <cellStyle name="Normal 6 10 2 2 3 2 2" xfId="4191"/>
    <cellStyle name="Normal 6 10 2 2 3 3" xfId="3189"/>
    <cellStyle name="Normal 6 10 2 2 4" xfId="1686"/>
    <cellStyle name="Normal 6 10 2 2 4 2" xfId="3690"/>
    <cellStyle name="Normal 6 10 2 2 5" xfId="2688"/>
    <cellStyle name="Normal 6 10 2 3" xfId="805"/>
    <cellStyle name="Normal 6 10 2 3 2" xfId="1309"/>
    <cellStyle name="Normal 6 10 2 3 2 2" xfId="2311"/>
    <cellStyle name="Normal 6 10 2 3 2 2 2" xfId="4315"/>
    <cellStyle name="Normal 6 10 2 3 2 3" xfId="3313"/>
    <cellStyle name="Normal 6 10 2 3 3" xfId="1810"/>
    <cellStyle name="Normal 6 10 2 3 3 2" xfId="3814"/>
    <cellStyle name="Normal 6 10 2 3 4" xfId="2812"/>
    <cellStyle name="Normal 6 10 2 4" xfId="1061"/>
    <cellStyle name="Normal 6 10 2 4 2" xfId="2063"/>
    <cellStyle name="Normal 6 10 2 4 2 2" xfId="4067"/>
    <cellStyle name="Normal 6 10 2 4 3" xfId="3065"/>
    <cellStyle name="Normal 6 10 2 5" xfId="1562"/>
    <cellStyle name="Normal 6 10 2 5 2" xfId="3566"/>
    <cellStyle name="Normal 6 10 2 6" xfId="2564"/>
    <cellStyle name="Normal 6 10 3" xfId="603"/>
    <cellStyle name="Normal 6 10 3 2" xfId="851"/>
    <cellStyle name="Normal 6 10 3 2 2" xfId="1355"/>
    <cellStyle name="Normal 6 10 3 2 2 2" xfId="2357"/>
    <cellStyle name="Normal 6 10 3 2 2 2 2" xfId="4361"/>
    <cellStyle name="Normal 6 10 3 2 2 3" xfId="3359"/>
    <cellStyle name="Normal 6 10 3 2 3" xfId="1856"/>
    <cellStyle name="Normal 6 10 3 2 3 2" xfId="3860"/>
    <cellStyle name="Normal 6 10 3 2 4" xfId="2858"/>
    <cellStyle name="Normal 6 10 3 3" xfId="1107"/>
    <cellStyle name="Normal 6 10 3 3 2" xfId="2109"/>
    <cellStyle name="Normal 6 10 3 3 2 2" xfId="4113"/>
    <cellStyle name="Normal 6 10 3 3 3" xfId="3111"/>
    <cellStyle name="Normal 6 10 3 4" xfId="1608"/>
    <cellStyle name="Normal 6 10 3 4 2" xfId="3612"/>
    <cellStyle name="Normal 6 10 3 5" xfId="2610"/>
    <cellStyle name="Normal 6 10 4" xfId="727"/>
    <cellStyle name="Normal 6 10 4 2" xfId="1231"/>
    <cellStyle name="Normal 6 10 4 2 2" xfId="2233"/>
    <cellStyle name="Normal 6 10 4 2 2 2" xfId="4237"/>
    <cellStyle name="Normal 6 10 4 2 3" xfId="3235"/>
    <cellStyle name="Normal 6 10 4 3" xfId="1732"/>
    <cellStyle name="Normal 6 10 4 3 2" xfId="3736"/>
    <cellStyle name="Normal 6 10 4 4" xfId="2734"/>
    <cellStyle name="Normal 6 10 5" xfId="983"/>
    <cellStyle name="Normal 6 10 5 2" xfId="1985"/>
    <cellStyle name="Normal 6 10 5 2 2" xfId="3989"/>
    <cellStyle name="Normal 6 10 5 3" xfId="2987"/>
    <cellStyle name="Normal 6 10 6" xfId="1484"/>
    <cellStyle name="Normal 6 10 6 2" xfId="3488"/>
    <cellStyle name="Normal 6 10 7" xfId="2486"/>
    <cellStyle name="Normal 6 11" xfId="955"/>
    <cellStyle name="Normal 6 11 2" xfId="1459"/>
    <cellStyle name="Normal 6 11 2 2" xfId="2461"/>
    <cellStyle name="Normal 6 11 2 2 2" xfId="4465"/>
    <cellStyle name="Normal 6 11 2 3" xfId="3463"/>
    <cellStyle name="Normal 6 11 3" xfId="1960"/>
    <cellStyle name="Normal 6 11 3 2" xfId="3964"/>
    <cellStyle name="Normal 6 11 4" xfId="2962"/>
    <cellStyle name="Normal 6 2" xfId="456"/>
    <cellStyle name="Normal 6 2 2" xfId="487"/>
    <cellStyle name="Normal 6 2 2 2" xfId="559"/>
    <cellStyle name="Normal 6 2 2 2 2" xfId="683"/>
    <cellStyle name="Normal 6 2 2 2 2 2" xfId="931"/>
    <cellStyle name="Normal 6 2 2 2 2 2 2" xfId="1435"/>
    <cellStyle name="Normal 6 2 2 2 2 2 2 2" xfId="2437"/>
    <cellStyle name="Normal 6 2 2 2 2 2 2 2 2" xfId="4441"/>
    <cellStyle name="Normal 6 2 2 2 2 2 2 3" xfId="3439"/>
    <cellStyle name="Normal 6 2 2 2 2 2 3" xfId="1936"/>
    <cellStyle name="Normal 6 2 2 2 2 2 3 2" xfId="3940"/>
    <cellStyle name="Normal 6 2 2 2 2 2 4" xfId="2938"/>
    <cellStyle name="Normal 6 2 2 2 2 3" xfId="1187"/>
    <cellStyle name="Normal 6 2 2 2 2 3 2" xfId="2189"/>
    <cellStyle name="Normal 6 2 2 2 2 3 2 2" xfId="4193"/>
    <cellStyle name="Normal 6 2 2 2 2 3 3" xfId="3191"/>
    <cellStyle name="Normal 6 2 2 2 2 4" xfId="1688"/>
    <cellStyle name="Normal 6 2 2 2 2 4 2" xfId="3692"/>
    <cellStyle name="Normal 6 2 2 2 2 5" xfId="2690"/>
    <cellStyle name="Normal 6 2 2 2 3" xfId="807"/>
    <cellStyle name="Normal 6 2 2 2 3 2" xfId="1311"/>
    <cellStyle name="Normal 6 2 2 2 3 2 2" xfId="2313"/>
    <cellStyle name="Normal 6 2 2 2 3 2 2 2" xfId="4317"/>
    <cellStyle name="Normal 6 2 2 2 3 2 3" xfId="3315"/>
    <cellStyle name="Normal 6 2 2 2 3 3" xfId="1812"/>
    <cellStyle name="Normal 6 2 2 2 3 3 2" xfId="3816"/>
    <cellStyle name="Normal 6 2 2 2 3 4" xfId="2814"/>
    <cellStyle name="Normal 6 2 2 2 4" xfId="1063"/>
    <cellStyle name="Normal 6 2 2 2 4 2" xfId="2065"/>
    <cellStyle name="Normal 6 2 2 2 4 2 2" xfId="4069"/>
    <cellStyle name="Normal 6 2 2 2 4 3" xfId="3067"/>
    <cellStyle name="Normal 6 2 2 2 5" xfId="1564"/>
    <cellStyle name="Normal 6 2 2 2 5 2" xfId="3568"/>
    <cellStyle name="Normal 6 2 2 2 6" xfId="2566"/>
    <cellStyle name="Normal 6 2 2 3" xfId="611"/>
    <cellStyle name="Normal 6 2 2 3 2" xfId="859"/>
    <cellStyle name="Normal 6 2 2 3 2 2" xfId="1363"/>
    <cellStyle name="Normal 6 2 2 3 2 2 2" xfId="2365"/>
    <cellStyle name="Normal 6 2 2 3 2 2 2 2" xfId="4369"/>
    <cellStyle name="Normal 6 2 2 3 2 2 3" xfId="3367"/>
    <cellStyle name="Normal 6 2 2 3 2 3" xfId="1864"/>
    <cellStyle name="Normal 6 2 2 3 2 3 2" xfId="3868"/>
    <cellStyle name="Normal 6 2 2 3 2 4" xfId="2866"/>
    <cellStyle name="Normal 6 2 2 3 3" xfId="1115"/>
    <cellStyle name="Normal 6 2 2 3 3 2" xfId="2117"/>
    <cellStyle name="Normal 6 2 2 3 3 2 2" xfId="4121"/>
    <cellStyle name="Normal 6 2 2 3 3 3" xfId="3119"/>
    <cellStyle name="Normal 6 2 2 3 4" xfId="1616"/>
    <cellStyle name="Normal 6 2 2 3 4 2" xfId="3620"/>
    <cellStyle name="Normal 6 2 2 3 5" xfId="2618"/>
    <cellStyle name="Normal 6 2 2 4" xfId="735"/>
    <cellStyle name="Normal 6 2 2 4 2" xfId="1239"/>
    <cellStyle name="Normal 6 2 2 4 2 2" xfId="2241"/>
    <cellStyle name="Normal 6 2 2 4 2 2 2" xfId="4245"/>
    <cellStyle name="Normal 6 2 2 4 2 3" xfId="3243"/>
    <cellStyle name="Normal 6 2 2 4 3" xfId="1740"/>
    <cellStyle name="Normal 6 2 2 4 3 2" xfId="3744"/>
    <cellStyle name="Normal 6 2 2 4 4" xfId="2742"/>
    <cellStyle name="Normal 6 2 2 5" xfId="991"/>
    <cellStyle name="Normal 6 2 2 5 2" xfId="1993"/>
    <cellStyle name="Normal 6 2 2 5 2 2" xfId="3997"/>
    <cellStyle name="Normal 6 2 2 5 3" xfId="2995"/>
    <cellStyle name="Normal 6 2 2 6" xfId="1492"/>
    <cellStyle name="Normal 6 2 2 6 2" xfId="3496"/>
    <cellStyle name="Normal 6 2 2 7" xfId="2494"/>
    <cellStyle name="Normal 6 2 3" xfId="507"/>
    <cellStyle name="Normal 6 2 3 2" xfId="560"/>
    <cellStyle name="Normal 6 2 3 2 2" xfId="684"/>
    <cellStyle name="Normal 6 2 3 2 2 2" xfId="932"/>
    <cellStyle name="Normal 6 2 3 2 2 2 2" xfId="1436"/>
    <cellStyle name="Normal 6 2 3 2 2 2 2 2" xfId="2438"/>
    <cellStyle name="Normal 6 2 3 2 2 2 2 2 2" xfId="4442"/>
    <cellStyle name="Normal 6 2 3 2 2 2 2 3" xfId="3440"/>
    <cellStyle name="Normal 6 2 3 2 2 2 3" xfId="1937"/>
    <cellStyle name="Normal 6 2 3 2 2 2 3 2" xfId="3941"/>
    <cellStyle name="Normal 6 2 3 2 2 2 4" xfId="2939"/>
    <cellStyle name="Normal 6 2 3 2 2 3" xfId="1188"/>
    <cellStyle name="Normal 6 2 3 2 2 3 2" xfId="2190"/>
    <cellStyle name="Normal 6 2 3 2 2 3 2 2" xfId="4194"/>
    <cellStyle name="Normal 6 2 3 2 2 3 3" xfId="3192"/>
    <cellStyle name="Normal 6 2 3 2 2 4" xfId="1689"/>
    <cellStyle name="Normal 6 2 3 2 2 4 2" xfId="3693"/>
    <cellStyle name="Normal 6 2 3 2 2 5" xfId="2691"/>
    <cellStyle name="Normal 6 2 3 2 3" xfId="808"/>
    <cellStyle name="Normal 6 2 3 2 3 2" xfId="1312"/>
    <cellStyle name="Normal 6 2 3 2 3 2 2" xfId="2314"/>
    <cellStyle name="Normal 6 2 3 2 3 2 2 2" xfId="4318"/>
    <cellStyle name="Normal 6 2 3 2 3 2 3" xfId="3316"/>
    <cellStyle name="Normal 6 2 3 2 3 3" xfId="1813"/>
    <cellStyle name="Normal 6 2 3 2 3 3 2" xfId="3817"/>
    <cellStyle name="Normal 6 2 3 2 3 4" xfId="2815"/>
    <cellStyle name="Normal 6 2 3 2 4" xfId="1064"/>
    <cellStyle name="Normal 6 2 3 2 4 2" xfId="2066"/>
    <cellStyle name="Normal 6 2 3 2 4 2 2" xfId="4070"/>
    <cellStyle name="Normal 6 2 3 2 4 3" xfId="3068"/>
    <cellStyle name="Normal 6 2 3 2 5" xfId="1565"/>
    <cellStyle name="Normal 6 2 3 2 5 2" xfId="3569"/>
    <cellStyle name="Normal 6 2 3 2 6" xfId="2567"/>
    <cellStyle name="Normal 6 2 3 3" xfId="631"/>
    <cellStyle name="Normal 6 2 3 3 2" xfId="879"/>
    <cellStyle name="Normal 6 2 3 3 2 2" xfId="1383"/>
    <cellStyle name="Normal 6 2 3 3 2 2 2" xfId="2385"/>
    <cellStyle name="Normal 6 2 3 3 2 2 2 2" xfId="4389"/>
    <cellStyle name="Normal 6 2 3 3 2 2 3" xfId="3387"/>
    <cellStyle name="Normal 6 2 3 3 2 3" xfId="1884"/>
    <cellStyle name="Normal 6 2 3 3 2 3 2" xfId="3888"/>
    <cellStyle name="Normal 6 2 3 3 2 4" xfId="2886"/>
    <cellStyle name="Normal 6 2 3 3 3" xfId="1135"/>
    <cellStyle name="Normal 6 2 3 3 3 2" xfId="2137"/>
    <cellStyle name="Normal 6 2 3 3 3 2 2" xfId="4141"/>
    <cellStyle name="Normal 6 2 3 3 3 3" xfId="3139"/>
    <cellStyle name="Normal 6 2 3 3 4" xfId="1636"/>
    <cellStyle name="Normal 6 2 3 3 4 2" xfId="3640"/>
    <cellStyle name="Normal 6 2 3 3 5" xfId="2638"/>
    <cellStyle name="Normal 6 2 3 4" xfId="755"/>
    <cellStyle name="Normal 6 2 3 4 2" xfId="1259"/>
    <cellStyle name="Normal 6 2 3 4 2 2" xfId="2261"/>
    <cellStyle name="Normal 6 2 3 4 2 2 2" xfId="4265"/>
    <cellStyle name="Normal 6 2 3 4 2 3" xfId="3263"/>
    <cellStyle name="Normal 6 2 3 4 3" xfId="1760"/>
    <cellStyle name="Normal 6 2 3 4 3 2" xfId="3764"/>
    <cellStyle name="Normal 6 2 3 4 4" xfId="2762"/>
    <cellStyle name="Normal 6 2 3 5" xfId="1011"/>
    <cellStyle name="Normal 6 2 3 5 2" xfId="2013"/>
    <cellStyle name="Normal 6 2 3 5 2 2" xfId="4017"/>
    <cellStyle name="Normal 6 2 3 5 3" xfId="3015"/>
    <cellStyle name="Normal 6 2 3 6" xfId="1512"/>
    <cellStyle name="Normal 6 2 3 6 2" xfId="3516"/>
    <cellStyle name="Normal 6 2 3 7" xfId="2514"/>
    <cellStyle name="Normal 6 2 4" xfId="558"/>
    <cellStyle name="Normal 6 2 4 2" xfId="682"/>
    <cellStyle name="Normal 6 2 4 2 2" xfId="930"/>
    <cellStyle name="Normal 6 2 4 2 2 2" xfId="1434"/>
    <cellStyle name="Normal 6 2 4 2 2 2 2" xfId="2436"/>
    <cellStyle name="Normal 6 2 4 2 2 2 2 2" xfId="4440"/>
    <cellStyle name="Normal 6 2 4 2 2 2 3" xfId="3438"/>
    <cellStyle name="Normal 6 2 4 2 2 3" xfId="1935"/>
    <cellStyle name="Normal 6 2 4 2 2 3 2" xfId="3939"/>
    <cellStyle name="Normal 6 2 4 2 2 4" xfId="2937"/>
    <cellStyle name="Normal 6 2 4 2 3" xfId="1186"/>
    <cellStyle name="Normal 6 2 4 2 3 2" xfId="2188"/>
    <cellStyle name="Normal 6 2 4 2 3 2 2" xfId="4192"/>
    <cellStyle name="Normal 6 2 4 2 3 3" xfId="3190"/>
    <cellStyle name="Normal 6 2 4 2 4" xfId="1687"/>
    <cellStyle name="Normal 6 2 4 2 4 2" xfId="3691"/>
    <cellStyle name="Normal 6 2 4 2 5" xfId="2689"/>
    <cellStyle name="Normal 6 2 4 3" xfId="806"/>
    <cellStyle name="Normal 6 2 4 3 2" xfId="1310"/>
    <cellStyle name="Normal 6 2 4 3 2 2" xfId="2312"/>
    <cellStyle name="Normal 6 2 4 3 2 2 2" xfId="4316"/>
    <cellStyle name="Normal 6 2 4 3 2 3" xfId="3314"/>
    <cellStyle name="Normal 6 2 4 3 3" xfId="1811"/>
    <cellStyle name="Normal 6 2 4 3 3 2" xfId="3815"/>
    <cellStyle name="Normal 6 2 4 3 4" xfId="2813"/>
    <cellStyle name="Normal 6 2 4 4" xfId="1062"/>
    <cellStyle name="Normal 6 2 4 4 2" xfId="2064"/>
    <cellStyle name="Normal 6 2 4 4 2 2" xfId="4068"/>
    <cellStyle name="Normal 6 2 4 4 3" xfId="3066"/>
    <cellStyle name="Normal 6 2 4 5" xfId="1563"/>
    <cellStyle name="Normal 6 2 4 5 2" xfId="3567"/>
    <cellStyle name="Normal 6 2 4 6" xfId="2565"/>
    <cellStyle name="Normal 6 2 5" xfId="589"/>
    <cellStyle name="Normal 6 2 5 2" xfId="837"/>
    <cellStyle name="Normal 6 2 5 2 2" xfId="1341"/>
    <cellStyle name="Normal 6 2 5 2 2 2" xfId="2343"/>
    <cellStyle name="Normal 6 2 5 2 2 2 2" xfId="4347"/>
    <cellStyle name="Normal 6 2 5 2 2 3" xfId="3345"/>
    <cellStyle name="Normal 6 2 5 2 3" xfId="1842"/>
    <cellStyle name="Normal 6 2 5 2 3 2" xfId="3846"/>
    <cellStyle name="Normal 6 2 5 2 4" xfId="2844"/>
    <cellStyle name="Normal 6 2 5 3" xfId="1093"/>
    <cellStyle name="Normal 6 2 5 3 2" xfId="2095"/>
    <cellStyle name="Normal 6 2 5 3 2 2" xfId="4099"/>
    <cellStyle name="Normal 6 2 5 3 3" xfId="3097"/>
    <cellStyle name="Normal 6 2 5 4" xfId="1594"/>
    <cellStyle name="Normal 6 2 5 4 2" xfId="3598"/>
    <cellStyle name="Normal 6 2 5 5" xfId="2596"/>
    <cellStyle name="Normal 6 2 6" xfId="713"/>
    <cellStyle name="Normal 6 2 6 2" xfId="1217"/>
    <cellStyle name="Normal 6 2 6 2 2" xfId="2219"/>
    <cellStyle name="Normal 6 2 6 2 2 2" xfId="4223"/>
    <cellStyle name="Normal 6 2 6 2 3" xfId="3221"/>
    <cellStyle name="Normal 6 2 6 3" xfId="1718"/>
    <cellStyle name="Normal 6 2 6 3 2" xfId="3722"/>
    <cellStyle name="Normal 6 2 6 4" xfId="2720"/>
    <cellStyle name="Normal 6 2 7" xfId="969"/>
    <cellStyle name="Normal 6 2 7 2" xfId="1971"/>
    <cellStyle name="Normal 6 2 7 2 2" xfId="3975"/>
    <cellStyle name="Normal 6 2 7 3" xfId="2973"/>
    <cellStyle name="Normal 6 2 8" xfId="1470"/>
    <cellStyle name="Normal 6 2 8 2" xfId="3474"/>
    <cellStyle name="Normal 6 2 9" xfId="2472"/>
    <cellStyle name="Normal 6 3" xfId="459"/>
    <cellStyle name="Normal 6 3 2" xfId="489"/>
    <cellStyle name="Normal 6 3 2 2" xfId="562"/>
    <cellStyle name="Normal 6 3 2 2 2" xfId="686"/>
    <cellStyle name="Normal 6 3 2 2 2 2" xfId="934"/>
    <cellStyle name="Normal 6 3 2 2 2 2 2" xfId="1438"/>
    <cellStyle name="Normal 6 3 2 2 2 2 2 2" xfId="2440"/>
    <cellStyle name="Normal 6 3 2 2 2 2 2 2 2" xfId="4444"/>
    <cellStyle name="Normal 6 3 2 2 2 2 2 3" xfId="3442"/>
    <cellStyle name="Normal 6 3 2 2 2 2 3" xfId="1939"/>
    <cellStyle name="Normal 6 3 2 2 2 2 3 2" xfId="3943"/>
    <cellStyle name="Normal 6 3 2 2 2 2 4" xfId="2941"/>
    <cellStyle name="Normal 6 3 2 2 2 3" xfId="1190"/>
    <cellStyle name="Normal 6 3 2 2 2 3 2" xfId="2192"/>
    <cellStyle name="Normal 6 3 2 2 2 3 2 2" xfId="4196"/>
    <cellStyle name="Normal 6 3 2 2 2 3 3" xfId="3194"/>
    <cellStyle name="Normal 6 3 2 2 2 4" xfId="1691"/>
    <cellStyle name="Normal 6 3 2 2 2 4 2" xfId="3695"/>
    <cellStyle name="Normal 6 3 2 2 2 5" xfId="2693"/>
    <cellStyle name="Normal 6 3 2 2 3" xfId="810"/>
    <cellStyle name="Normal 6 3 2 2 3 2" xfId="1314"/>
    <cellStyle name="Normal 6 3 2 2 3 2 2" xfId="2316"/>
    <cellStyle name="Normal 6 3 2 2 3 2 2 2" xfId="4320"/>
    <cellStyle name="Normal 6 3 2 2 3 2 3" xfId="3318"/>
    <cellStyle name="Normal 6 3 2 2 3 3" xfId="1815"/>
    <cellStyle name="Normal 6 3 2 2 3 3 2" xfId="3819"/>
    <cellStyle name="Normal 6 3 2 2 3 4" xfId="2817"/>
    <cellStyle name="Normal 6 3 2 2 4" xfId="1066"/>
    <cellStyle name="Normal 6 3 2 2 4 2" xfId="2068"/>
    <cellStyle name="Normal 6 3 2 2 4 2 2" xfId="4072"/>
    <cellStyle name="Normal 6 3 2 2 4 3" xfId="3070"/>
    <cellStyle name="Normal 6 3 2 2 5" xfId="1567"/>
    <cellStyle name="Normal 6 3 2 2 5 2" xfId="3571"/>
    <cellStyle name="Normal 6 3 2 2 6" xfId="2569"/>
    <cellStyle name="Normal 6 3 2 3" xfId="613"/>
    <cellStyle name="Normal 6 3 2 3 2" xfId="861"/>
    <cellStyle name="Normal 6 3 2 3 2 2" xfId="1365"/>
    <cellStyle name="Normal 6 3 2 3 2 2 2" xfId="2367"/>
    <cellStyle name="Normal 6 3 2 3 2 2 2 2" xfId="4371"/>
    <cellStyle name="Normal 6 3 2 3 2 2 3" xfId="3369"/>
    <cellStyle name="Normal 6 3 2 3 2 3" xfId="1866"/>
    <cellStyle name="Normal 6 3 2 3 2 3 2" xfId="3870"/>
    <cellStyle name="Normal 6 3 2 3 2 4" xfId="2868"/>
    <cellStyle name="Normal 6 3 2 3 3" xfId="1117"/>
    <cellStyle name="Normal 6 3 2 3 3 2" xfId="2119"/>
    <cellStyle name="Normal 6 3 2 3 3 2 2" xfId="4123"/>
    <cellStyle name="Normal 6 3 2 3 3 3" xfId="3121"/>
    <cellStyle name="Normal 6 3 2 3 4" xfId="1618"/>
    <cellStyle name="Normal 6 3 2 3 4 2" xfId="3622"/>
    <cellStyle name="Normal 6 3 2 3 5" xfId="2620"/>
    <cellStyle name="Normal 6 3 2 4" xfId="737"/>
    <cellStyle name="Normal 6 3 2 4 2" xfId="1241"/>
    <cellStyle name="Normal 6 3 2 4 2 2" xfId="2243"/>
    <cellStyle name="Normal 6 3 2 4 2 2 2" xfId="4247"/>
    <cellStyle name="Normal 6 3 2 4 2 3" xfId="3245"/>
    <cellStyle name="Normal 6 3 2 4 3" xfId="1742"/>
    <cellStyle name="Normal 6 3 2 4 3 2" xfId="3746"/>
    <cellStyle name="Normal 6 3 2 4 4" xfId="2744"/>
    <cellStyle name="Normal 6 3 2 5" xfId="993"/>
    <cellStyle name="Normal 6 3 2 5 2" xfId="1995"/>
    <cellStyle name="Normal 6 3 2 5 2 2" xfId="3999"/>
    <cellStyle name="Normal 6 3 2 5 3" xfId="2997"/>
    <cellStyle name="Normal 6 3 2 6" xfId="1494"/>
    <cellStyle name="Normal 6 3 2 6 2" xfId="3498"/>
    <cellStyle name="Normal 6 3 2 7" xfId="2496"/>
    <cellStyle name="Normal 6 3 3" xfId="509"/>
    <cellStyle name="Normal 6 3 3 2" xfId="563"/>
    <cellStyle name="Normal 6 3 3 2 2" xfId="687"/>
    <cellStyle name="Normal 6 3 3 2 2 2" xfId="935"/>
    <cellStyle name="Normal 6 3 3 2 2 2 2" xfId="1439"/>
    <cellStyle name="Normal 6 3 3 2 2 2 2 2" xfId="2441"/>
    <cellStyle name="Normal 6 3 3 2 2 2 2 2 2" xfId="4445"/>
    <cellStyle name="Normal 6 3 3 2 2 2 2 3" xfId="3443"/>
    <cellStyle name="Normal 6 3 3 2 2 2 3" xfId="1940"/>
    <cellStyle name="Normal 6 3 3 2 2 2 3 2" xfId="3944"/>
    <cellStyle name="Normal 6 3 3 2 2 2 4" xfId="2942"/>
    <cellStyle name="Normal 6 3 3 2 2 3" xfId="1191"/>
    <cellStyle name="Normal 6 3 3 2 2 3 2" xfId="2193"/>
    <cellStyle name="Normal 6 3 3 2 2 3 2 2" xfId="4197"/>
    <cellStyle name="Normal 6 3 3 2 2 3 3" xfId="3195"/>
    <cellStyle name="Normal 6 3 3 2 2 4" xfId="1692"/>
    <cellStyle name="Normal 6 3 3 2 2 4 2" xfId="3696"/>
    <cellStyle name="Normal 6 3 3 2 2 5" xfId="2694"/>
    <cellStyle name="Normal 6 3 3 2 3" xfId="811"/>
    <cellStyle name="Normal 6 3 3 2 3 2" xfId="1315"/>
    <cellStyle name="Normal 6 3 3 2 3 2 2" xfId="2317"/>
    <cellStyle name="Normal 6 3 3 2 3 2 2 2" xfId="4321"/>
    <cellStyle name="Normal 6 3 3 2 3 2 3" xfId="3319"/>
    <cellStyle name="Normal 6 3 3 2 3 3" xfId="1816"/>
    <cellStyle name="Normal 6 3 3 2 3 3 2" xfId="3820"/>
    <cellStyle name="Normal 6 3 3 2 3 4" xfId="2818"/>
    <cellStyle name="Normal 6 3 3 2 4" xfId="1067"/>
    <cellStyle name="Normal 6 3 3 2 4 2" xfId="2069"/>
    <cellStyle name="Normal 6 3 3 2 4 2 2" xfId="4073"/>
    <cellStyle name="Normal 6 3 3 2 4 3" xfId="3071"/>
    <cellStyle name="Normal 6 3 3 2 5" xfId="1568"/>
    <cellStyle name="Normal 6 3 3 2 5 2" xfId="3572"/>
    <cellStyle name="Normal 6 3 3 2 6" xfId="2570"/>
    <cellStyle name="Normal 6 3 3 3" xfId="633"/>
    <cellStyle name="Normal 6 3 3 3 2" xfId="881"/>
    <cellStyle name="Normal 6 3 3 3 2 2" xfId="1385"/>
    <cellStyle name="Normal 6 3 3 3 2 2 2" xfId="2387"/>
    <cellStyle name="Normal 6 3 3 3 2 2 2 2" xfId="4391"/>
    <cellStyle name="Normal 6 3 3 3 2 2 3" xfId="3389"/>
    <cellStyle name="Normal 6 3 3 3 2 3" xfId="1886"/>
    <cellStyle name="Normal 6 3 3 3 2 3 2" xfId="3890"/>
    <cellStyle name="Normal 6 3 3 3 2 4" xfId="2888"/>
    <cellStyle name="Normal 6 3 3 3 3" xfId="1137"/>
    <cellStyle name="Normal 6 3 3 3 3 2" xfId="2139"/>
    <cellStyle name="Normal 6 3 3 3 3 2 2" xfId="4143"/>
    <cellStyle name="Normal 6 3 3 3 3 3" xfId="3141"/>
    <cellStyle name="Normal 6 3 3 3 4" xfId="1638"/>
    <cellStyle name="Normal 6 3 3 3 4 2" xfId="3642"/>
    <cellStyle name="Normal 6 3 3 3 5" xfId="2640"/>
    <cellStyle name="Normal 6 3 3 4" xfId="757"/>
    <cellStyle name="Normal 6 3 3 4 2" xfId="1261"/>
    <cellStyle name="Normal 6 3 3 4 2 2" xfId="2263"/>
    <cellStyle name="Normal 6 3 3 4 2 2 2" xfId="4267"/>
    <cellStyle name="Normal 6 3 3 4 2 3" xfId="3265"/>
    <cellStyle name="Normal 6 3 3 4 3" xfId="1762"/>
    <cellStyle name="Normal 6 3 3 4 3 2" xfId="3766"/>
    <cellStyle name="Normal 6 3 3 4 4" xfId="2764"/>
    <cellStyle name="Normal 6 3 3 5" xfId="1013"/>
    <cellStyle name="Normal 6 3 3 5 2" xfId="2015"/>
    <cellStyle name="Normal 6 3 3 5 2 2" xfId="4019"/>
    <cellStyle name="Normal 6 3 3 5 3" xfId="3017"/>
    <cellStyle name="Normal 6 3 3 6" xfId="1514"/>
    <cellStyle name="Normal 6 3 3 6 2" xfId="3518"/>
    <cellStyle name="Normal 6 3 3 7" xfId="2516"/>
    <cellStyle name="Normal 6 3 4" xfId="561"/>
    <cellStyle name="Normal 6 3 4 2" xfId="685"/>
    <cellStyle name="Normal 6 3 4 2 2" xfId="933"/>
    <cellStyle name="Normal 6 3 4 2 2 2" xfId="1437"/>
    <cellStyle name="Normal 6 3 4 2 2 2 2" xfId="2439"/>
    <cellStyle name="Normal 6 3 4 2 2 2 2 2" xfId="4443"/>
    <cellStyle name="Normal 6 3 4 2 2 2 3" xfId="3441"/>
    <cellStyle name="Normal 6 3 4 2 2 3" xfId="1938"/>
    <cellStyle name="Normal 6 3 4 2 2 3 2" xfId="3942"/>
    <cellStyle name="Normal 6 3 4 2 2 4" xfId="2940"/>
    <cellStyle name="Normal 6 3 4 2 3" xfId="1189"/>
    <cellStyle name="Normal 6 3 4 2 3 2" xfId="2191"/>
    <cellStyle name="Normal 6 3 4 2 3 2 2" xfId="4195"/>
    <cellStyle name="Normal 6 3 4 2 3 3" xfId="3193"/>
    <cellStyle name="Normal 6 3 4 2 4" xfId="1690"/>
    <cellStyle name="Normal 6 3 4 2 4 2" xfId="3694"/>
    <cellStyle name="Normal 6 3 4 2 5" xfId="2692"/>
    <cellStyle name="Normal 6 3 4 3" xfId="809"/>
    <cellStyle name="Normal 6 3 4 3 2" xfId="1313"/>
    <cellStyle name="Normal 6 3 4 3 2 2" xfId="2315"/>
    <cellStyle name="Normal 6 3 4 3 2 2 2" xfId="4319"/>
    <cellStyle name="Normal 6 3 4 3 2 3" xfId="3317"/>
    <cellStyle name="Normal 6 3 4 3 3" xfId="1814"/>
    <cellStyle name="Normal 6 3 4 3 3 2" xfId="3818"/>
    <cellStyle name="Normal 6 3 4 3 4" xfId="2816"/>
    <cellStyle name="Normal 6 3 4 4" xfId="1065"/>
    <cellStyle name="Normal 6 3 4 4 2" xfId="2067"/>
    <cellStyle name="Normal 6 3 4 4 2 2" xfId="4071"/>
    <cellStyle name="Normal 6 3 4 4 3" xfId="3069"/>
    <cellStyle name="Normal 6 3 4 5" xfId="1566"/>
    <cellStyle name="Normal 6 3 4 5 2" xfId="3570"/>
    <cellStyle name="Normal 6 3 4 6" xfId="2568"/>
    <cellStyle name="Normal 6 3 5" xfId="591"/>
    <cellStyle name="Normal 6 3 5 2" xfId="839"/>
    <cellStyle name="Normal 6 3 5 2 2" xfId="1343"/>
    <cellStyle name="Normal 6 3 5 2 2 2" xfId="2345"/>
    <cellStyle name="Normal 6 3 5 2 2 2 2" xfId="4349"/>
    <cellStyle name="Normal 6 3 5 2 2 3" xfId="3347"/>
    <cellStyle name="Normal 6 3 5 2 3" xfId="1844"/>
    <cellStyle name="Normal 6 3 5 2 3 2" xfId="3848"/>
    <cellStyle name="Normal 6 3 5 2 4" xfId="2846"/>
    <cellStyle name="Normal 6 3 5 3" xfId="1095"/>
    <cellStyle name="Normal 6 3 5 3 2" xfId="2097"/>
    <cellStyle name="Normal 6 3 5 3 2 2" xfId="4101"/>
    <cellStyle name="Normal 6 3 5 3 3" xfId="3099"/>
    <cellStyle name="Normal 6 3 5 4" xfId="1596"/>
    <cellStyle name="Normal 6 3 5 4 2" xfId="3600"/>
    <cellStyle name="Normal 6 3 5 5" xfId="2598"/>
    <cellStyle name="Normal 6 3 6" xfId="715"/>
    <cellStyle name="Normal 6 3 6 2" xfId="1219"/>
    <cellStyle name="Normal 6 3 6 2 2" xfId="2221"/>
    <cellStyle name="Normal 6 3 6 2 2 2" xfId="4225"/>
    <cellStyle name="Normal 6 3 6 2 3" xfId="3223"/>
    <cellStyle name="Normal 6 3 6 3" xfId="1720"/>
    <cellStyle name="Normal 6 3 6 3 2" xfId="3724"/>
    <cellStyle name="Normal 6 3 6 4" xfId="2722"/>
    <cellStyle name="Normal 6 3 7" xfId="971"/>
    <cellStyle name="Normal 6 3 7 2" xfId="1973"/>
    <cellStyle name="Normal 6 3 7 2 2" xfId="3977"/>
    <cellStyle name="Normal 6 3 7 3" xfId="2975"/>
    <cellStyle name="Normal 6 3 8" xfId="1472"/>
    <cellStyle name="Normal 6 3 8 2" xfId="3476"/>
    <cellStyle name="Normal 6 3 9" xfId="2474"/>
    <cellStyle name="Normal 6 4" xfId="461"/>
    <cellStyle name="Normal 6 4 2" xfId="491"/>
    <cellStyle name="Normal 6 4 2 2" xfId="565"/>
    <cellStyle name="Normal 6 4 2 2 2" xfId="689"/>
    <cellStyle name="Normal 6 4 2 2 2 2" xfId="937"/>
    <cellStyle name="Normal 6 4 2 2 2 2 2" xfId="1441"/>
    <cellStyle name="Normal 6 4 2 2 2 2 2 2" xfId="2443"/>
    <cellStyle name="Normal 6 4 2 2 2 2 2 2 2" xfId="4447"/>
    <cellStyle name="Normal 6 4 2 2 2 2 2 3" xfId="3445"/>
    <cellStyle name="Normal 6 4 2 2 2 2 3" xfId="1942"/>
    <cellStyle name="Normal 6 4 2 2 2 2 3 2" xfId="3946"/>
    <cellStyle name="Normal 6 4 2 2 2 2 4" xfId="2944"/>
    <cellStyle name="Normal 6 4 2 2 2 3" xfId="1193"/>
    <cellStyle name="Normal 6 4 2 2 2 3 2" xfId="2195"/>
    <cellStyle name="Normal 6 4 2 2 2 3 2 2" xfId="4199"/>
    <cellStyle name="Normal 6 4 2 2 2 3 3" xfId="3197"/>
    <cellStyle name="Normal 6 4 2 2 2 4" xfId="1694"/>
    <cellStyle name="Normal 6 4 2 2 2 4 2" xfId="3698"/>
    <cellStyle name="Normal 6 4 2 2 2 5" xfId="2696"/>
    <cellStyle name="Normal 6 4 2 2 3" xfId="813"/>
    <cellStyle name="Normal 6 4 2 2 3 2" xfId="1317"/>
    <cellStyle name="Normal 6 4 2 2 3 2 2" xfId="2319"/>
    <cellStyle name="Normal 6 4 2 2 3 2 2 2" xfId="4323"/>
    <cellStyle name="Normal 6 4 2 2 3 2 3" xfId="3321"/>
    <cellStyle name="Normal 6 4 2 2 3 3" xfId="1818"/>
    <cellStyle name="Normal 6 4 2 2 3 3 2" xfId="3822"/>
    <cellStyle name="Normal 6 4 2 2 3 4" xfId="2820"/>
    <cellStyle name="Normal 6 4 2 2 4" xfId="1069"/>
    <cellStyle name="Normal 6 4 2 2 4 2" xfId="2071"/>
    <cellStyle name="Normal 6 4 2 2 4 2 2" xfId="4075"/>
    <cellStyle name="Normal 6 4 2 2 4 3" xfId="3073"/>
    <cellStyle name="Normal 6 4 2 2 5" xfId="1570"/>
    <cellStyle name="Normal 6 4 2 2 5 2" xfId="3574"/>
    <cellStyle name="Normal 6 4 2 2 6" xfId="2572"/>
    <cellStyle name="Normal 6 4 2 3" xfId="615"/>
    <cellStyle name="Normal 6 4 2 3 2" xfId="863"/>
    <cellStyle name="Normal 6 4 2 3 2 2" xfId="1367"/>
    <cellStyle name="Normal 6 4 2 3 2 2 2" xfId="2369"/>
    <cellStyle name="Normal 6 4 2 3 2 2 2 2" xfId="4373"/>
    <cellStyle name="Normal 6 4 2 3 2 2 3" xfId="3371"/>
    <cellStyle name="Normal 6 4 2 3 2 3" xfId="1868"/>
    <cellStyle name="Normal 6 4 2 3 2 3 2" xfId="3872"/>
    <cellStyle name="Normal 6 4 2 3 2 4" xfId="2870"/>
    <cellStyle name="Normal 6 4 2 3 3" xfId="1119"/>
    <cellStyle name="Normal 6 4 2 3 3 2" xfId="2121"/>
    <cellStyle name="Normal 6 4 2 3 3 2 2" xfId="4125"/>
    <cellStyle name="Normal 6 4 2 3 3 3" xfId="3123"/>
    <cellStyle name="Normal 6 4 2 3 4" xfId="1620"/>
    <cellStyle name="Normal 6 4 2 3 4 2" xfId="3624"/>
    <cellStyle name="Normal 6 4 2 3 5" xfId="2622"/>
    <cellStyle name="Normal 6 4 2 4" xfId="739"/>
    <cellStyle name="Normal 6 4 2 4 2" xfId="1243"/>
    <cellStyle name="Normal 6 4 2 4 2 2" xfId="2245"/>
    <cellStyle name="Normal 6 4 2 4 2 2 2" xfId="4249"/>
    <cellStyle name="Normal 6 4 2 4 2 3" xfId="3247"/>
    <cellStyle name="Normal 6 4 2 4 3" xfId="1744"/>
    <cellStyle name="Normal 6 4 2 4 3 2" xfId="3748"/>
    <cellStyle name="Normal 6 4 2 4 4" xfId="2746"/>
    <cellStyle name="Normal 6 4 2 5" xfId="995"/>
    <cellStyle name="Normal 6 4 2 5 2" xfId="1997"/>
    <cellStyle name="Normal 6 4 2 5 2 2" xfId="4001"/>
    <cellStyle name="Normal 6 4 2 5 3" xfId="2999"/>
    <cellStyle name="Normal 6 4 2 6" xfId="1496"/>
    <cellStyle name="Normal 6 4 2 6 2" xfId="3500"/>
    <cellStyle name="Normal 6 4 2 7" xfId="2498"/>
    <cellStyle name="Normal 6 4 3" xfId="511"/>
    <cellStyle name="Normal 6 4 3 2" xfId="566"/>
    <cellStyle name="Normal 6 4 3 2 2" xfId="690"/>
    <cellStyle name="Normal 6 4 3 2 2 2" xfId="938"/>
    <cellStyle name="Normal 6 4 3 2 2 2 2" xfId="1442"/>
    <cellStyle name="Normal 6 4 3 2 2 2 2 2" xfId="2444"/>
    <cellStyle name="Normal 6 4 3 2 2 2 2 2 2" xfId="4448"/>
    <cellStyle name="Normal 6 4 3 2 2 2 2 3" xfId="3446"/>
    <cellStyle name="Normal 6 4 3 2 2 2 3" xfId="1943"/>
    <cellStyle name="Normal 6 4 3 2 2 2 3 2" xfId="3947"/>
    <cellStyle name="Normal 6 4 3 2 2 2 4" xfId="2945"/>
    <cellStyle name="Normal 6 4 3 2 2 3" xfId="1194"/>
    <cellStyle name="Normal 6 4 3 2 2 3 2" xfId="2196"/>
    <cellStyle name="Normal 6 4 3 2 2 3 2 2" xfId="4200"/>
    <cellStyle name="Normal 6 4 3 2 2 3 3" xfId="3198"/>
    <cellStyle name="Normal 6 4 3 2 2 4" xfId="1695"/>
    <cellStyle name="Normal 6 4 3 2 2 4 2" xfId="3699"/>
    <cellStyle name="Normal 6 4 3 2 2 5" xfId="2697"/>
    <cellStyle name="Normal 6 4 3 2 3" xfId="814"/>
    <cellStyle name="Normal 6 4 3 2 3 2" xfId="1318"/>
    <cellStyle name="Normal 6 4 3 2 3 2 2" xfId="2320"/>
    <cellStyle name="Normal 6 4 3 2 3 2 2 2" xfId="4324"/>
    <cellStyle name="Normal 6 4 3 2 3 2 3" xfId="3322"/>
    <cellStyle name="Normal 6 4 3 2 3 3" xfId="1819"/>
    <cellStyle name="Normal 6 4 3 2 3 3 2" xfId="3823"/>
    <cellStyle name="Normal 6 4 3 2 3 4" xfId="2821"/>
    <cellStyle name="Normal 6 4 3 2 4" xfId="1070"/>
    <cellStyle name="Normal 6 4 3 2 4 2" xfId="2072"/>
    <cellStyle name="Normal 6 4 3 2 4 2 2" xfId="4076"/>
    <cellStyle name="Normal 6 4 3 2 4 3" xfId="3074"/>
    <cellStyle name="Normal 6 4 3 2 5" xfId="1571"/>
    <cellStyle name="Normal 6 4 3 2 5 2" xfId="3575"/>
    <cellStyle name="Normal 6 4 3 2 6" xfId="2573"/>
    <cellStyle name="Normal 6 4 3 3" xfId="635"/>
    <cellStyle name="Normal 6 4 3 3 2" xfId="883"/>
    <cellStyle name="Normal 6 4 3 3 2 2" xfId="1387"/>
    <cellStyle name="Normal 6 4 3 3 2 2 2" xfId="2389"/>
    <cellStyle name="Normal 6 4 3 3 2 2 2 2" xfId="4393"/>
    <cellStyle name="Normal 6 4 3 3 2 2 3" xfId="3391"/>
    <cellStyle name="Normal 6 4 3 3 2 3" xfId="1888"/>
    <cellStyle name="Normal 6 4 3 3 2 3 2" xfId="3892"/>
    <cellStyle name="Normal 6 4 3 3 2 4" xfId="2890"/>
    <cellStyle name="Normal 6 4 3 3 3" xfId="1139"/>
    <cellStyle name="Normal 6 4 3 3 3 2" xfId="2141"/>
    <cellStyle name="Normal 6 4 3 3 3 2 2" xfId="4145"/>
    <cellStyle name="Normal 6 4 3 3 3 3" xfId="3143"/>
    <cellStyle name="Normal 6 4 3 3 4" xfId="1640"/>
    <cellStyle name="Normal 6 4 3 3 4 2" xfId="3644"/>
    <cellStyle name="Normal 6 4 3 3 5" xfId="2642"/>
    <cellStyle name="Normal 6 4 3 4" xfId="759"/>
    <cellStyle name="Normal 6 4 3 4 2" xfId="1263"/>
    <cellStyle name="Normal 6 4 3 4 2 2" xfId="2265"/>
    <cellStyle name="Normal 6 4 3 4 2 2 2" xfId="4269"/>
    <cellStyle name="Normal 6 4 3 4 2 3" xfId="3267"/>
    <cellStyle name="Normal 6 4 3 4 3" xfId="1764"/>
    <cellStyle name="Normal 6 4 3 4 3 2" xfId="3768"/>
    <cellStyle name="Normal 6 4 3 4 4" xfId="2766"/>
    <cellStyle name="Normal 6 4 3 5" xfId="1015"/>
    <cellStyle name="Normal 6 4 3 5 2" xfId="2017"/>
    <cellStyle name="Normal 6 4 3 5 2 2" xfId="4021"/>
    <cellStyle name="Normal 6 4 3 5 3" xfId="3019"/>
    <cellStyle name="Normal 6 4 3 6" xfId="1516"/>
    <cellStyle name="Normal 6 4 3 6 2" xfId="3520"/>
    <cellStyle name="Normal 6 4 3 7" xfId="2518"/>
    <cellStyle name="Normal 6 4 4" xfId="564"/>
    <cellStyle name="Normal 6 4 4 2" xfId="688"/>
    <cellStyle name="Normal 6 4 4 2 2" xfId="936"/>
    <cellStyle name="Normal 6 4 4 2 2 2" xfId="1440"/>
    <cellStyle name="Normal 6 4 4 2 2 2 2" xfId="2442"/>
    <cellStyle name="Normal 6 4 4 2 2 2 2 2" xfId="4446"/>
    <cellStyle name="Normal 6 4 4 2 2 2 3" xfId="3444"/>
    <cellStyle name="Normal 6 4 4 2 2 3" xfId="1941"/>
    <cellStyle name="Normal 6 4 4 2 2 3 2" xfId="3945"/>
    <cellStyle name="Normal 6 4 4 2 2 4" xfId="2943"/>
    <cellStyle name="Normal 6 4 4 2 3" xfId="1192"/>
    <cellStyle name="Normal 6 4 4 2 3 2" xfId="2194"/>
    <cellStyle name="Normal 6 4 4 2 3 2 2" xfId="4198"/>
    <cellStyle name="Normal 6 4 4 2 3 3" xfId="3196"/>
    <cellStyle name="Normal 6 4 4 2 4" xfId="1693"/>
    <cellStyle name="Normal 6 4 4 2 4 2" xfId="3697"/>
    <cellStyle name="Normal 6 4 4 2 5" xfId="2695"/>
    <cellStyle name="Normal 6 4 4 3" xfId="812"/>
    <cellStyle name="Normal 6 4 4 3 2" xfId="1316"/>
    <cellStyle name="Normal 6 4 4 3 2 2" xfId="2318"/>
    <cellStyle name="Normal 6 4 4 3 2 2 2" xfId="4322"/>
    <cellStyle name="Normal 6 4 4 3 2 3" xfId="3320"/>
    <cellStyle name="Normal 6 4 4 3 3" xfId="1817"/>
    <cellStyle name="Normal 6 4 4 3 3 2" xfId="3821"/>
    <cellStyle name="Normal 6 4 4 3 4" xfId="2819"/>
    <cellStyle name="Normal 6 4 4 4" xfId="1068"/>
    <cellStyle name="Normal 6 4 4 4 2" xfId="2070"/>
    <cellStyle name="Normal 6 4 4 4 2 2" xfId="4074"/>
    <cellStyle name="Normal 6 4 4 4 3" xfId="3072"/>
    <cellStyle name="Normal 6 4 4 5" xfId="1569"/>
    <cellStyle name="Normal 6 4 4 5 2" xfId="3573"/>
    <cellStyle name="Normal 6 4 4 6" xfId="2571"/>
    <cellStyle name="Normal 6 4 5" xfId="593"/>
    <cellStyle name="Normal 6 4 5 2" xfId="841"/>
    <cellStyle name="Normal 6 4 5 2 2" xfId="1345"/>
    <cellStyle name="Normal 6 4 5 2 2 2" xfId="2347"/>
    <cellStyle name="Normal 6 4 5 2 2 2 2" xfId="4351"/>
    <cellStyle name="Normal 6 4 5 2 2 3" xfId="3349"/>
    <cellStyle name="Normal 6 4 5 2 3" xfId="1846"/>
    <cellStyle name="Normal 6 4 5 2 3 2" xfId="3850"/>
    <cellStyle name="Normal 6 4 5 2 4" xfId="2848"/>
    <cellStyle name="Normal 6 4 5 3" xfId="1097"/>
    <cellStyle name="Normal 6 4 5 3 2" xfId="2099"/>
    <cellStyle name="Normal 6 4 5 3 2 2" xfId="4103"/>
    <cellStyle name="Normal 6 4 5 3 3" xfId="3101"/>
    <cellStyle name="Normal 6 4 5 4" xfId="1598"/>
    <cellStyle name="Normal 6 4 5 4 2" xfId="3602"/>
    <cellStyle name="Normal 6 4 5 5" xfId="2600"/>
    <cellStyle name="Normal 6 4 6" xfId="717"/>
    <cellStyle name="Normal 6 4 6 2" xfId="1221"/>
    <cellStyle name="Normal 6 4 6 2 2" xfId="2223"/>
    <cellStyle name="Normal 6 4 6 2 2 2" xfId="4227"/>
    <cellStyle name="Normal 6 4 6 2 3" xfId="3225"/>
    <cellStyle name="Normal 6 4 6 3" xfId="1722"/>
    <cellStyle name="Normal 6 4 6 3 2" xfId="3726"/>
    <cellStyle name="Normal 6 4 6 4" xfId="2724"/>
    <cellStyle name="Normal 6 4 7" xfId="973"/>
    <cellStyle name="Normal 6 4 7 2" xfId="1975"/>
    <cellStyle name="Normal 6 4 7 2 2" xfId="3979"/>
    <cellStyle name="Normal 6 4 7 3" xfId="2977"/>
    <cellStyle name="Normal 6 4 8" xfId="1474"/>
    <cellStyle name="Normal 6 4 8 2" xfId="3478"/>
    <cellStyle name="Normal 6 4 9" xfId="2476"/>
    <cellStyle name="Normal 6 5" xfId="463"/>
    <cellStyle name="Normal 6 5 2" xfId="493"/>
    <cellStyle name="Normal 6 5 2 2" xfId="568"/>
    <cellStyle name="Normal 6 5 2 2 2" xfId="692"/>
    <cellStyle name="Normal 6 5 2 2 2 2" xfId="940"/>
    <cellStyle name="Normal 6 5 2 2 2 2 2" xfId="1444"/>
    <cellStyle name="Normal 6 5 2 2 2 2 2 2" xfId="2446"/>
    <cellStyle name="Normal 6 5 2 2 2 2 2 2 2" xfId="4450"/>
    <cellStyle name="Normal 6 5 2 2 2 2 2 3" xfId="3448"/>
    <cellStyle name="Normal 6 5 2 2 2 2 3" xfId="1945"/>
    <cellStyle name="Normal 6 5 2 2 2 2 3 2" xfId="3949"/>
    <cellStyle name="Normal 6 5 2 2 2 2 4" xfId="2947"/>
    <cellStyle name="Normal 6 5 2 2 2 3" xfId="1196"/>
    <cellStyle name="Normal 6 5 2 2 2 3 2" xfId="2198"/>
    <cellStyle name="Normal 6 5 2 2 2 3 2 2" xfId="4202"/>
    <cellStyle name="Normal 6 5 2 2 2 3 3" xfId="3200"/>
    <cellStyle name="Normal 6 5 2 2 2 4" xfId="1697"/>
    <cellStyle name="Normal 6 5 2 2 2 4 2" xfId="3701"/>
    <cellStyle name="Normal 6 5 2 2 2 5" xfId="2699"/>
    <cellStyle name="Normal 6 5 2 2 3" xfId="816"/>
    <cellStyle name="Normal 6 5 2 2 3 2" xfId="1320"/>
    <cellStyle name="Normal 6 5 2 2 3 2 2" xfId="2322"/>
    <cellStyle name="Normal 6 5 2 2 3 2 2 2" xfId="4326"/>
    <cellStyle name="Normal 6 5 2 2 3 2 3" xfId="3324"/>
    <cellStyle name="Normal 6 5 2 2 3 3" xfId="1821"/>
    <cellStyle name="Normal 6 5 2 2 3 3 2" xfId="3825"/>
    <cellStyle name="Normal 6 5 2 2 3 4" xfId="2823"/>
    <cellStyle name="Normal 6 5 2 2 4" xfId="1072"/>
    <cellStyle name="Normal 6 5 2 2 4 2" xfId="2074"/>
    <cellStyle name="Normal 6 5 2 2 4 2 2" xfId="4078"/>
    <cellStyle name="Normal 6 5 2 2 4 3" xfId="3076"/>
    <cellStyle name="Normal 6 5 2 2 5" xfId="1573"/>
    <cellStyle name="Normal 6 5 2 2 5 2" xfId="3577"/>
    <cellStyle name="Normal 6 5 2 2 6" xfId="2575"/>
    <cellStyle name="Normal 6 5 2 3" xfId="617"/>
    <cellStyle name="Normal 6 5 2 3 2" xfId="865"/>
    <cellStyle name="Normal 6 5 2 3 2 2" xfId="1369"/>
    <cellStyle name="Normal 6 5 2 3 2 2 2" xfId="2371"/>
    <cellStyle name="Normal 6 5 2 3 2 2 2 2" xfId="4375"/>
    <cellStyle name="Normal 6 5 2 3 2 2 3" xfId="3373"/>
    <cellStyle name="Normal 6 5 2 3 2 3" xfId="1870"/>
    <cellStyle name="Normal 6 5 2 3 2 3 2" xfId="3874"/>
    <cellStyle name="Normal 6 5 2 3 2 4" xfId="2872"/>
    <cellStyle name="Normal 6 5 2 3 3" xfId="1121"/>
    <cellStyle name="Normal 6 5 2 3 3 2" xfId="2123"/>
    <cellStyle name="Normal 6 5 2 3 3 2 2" xfId="4127"/>
    <cellStyle name="Normal 6 5 2 3 3 3" xfId="3125"/>
    <cellStyle name="Normal 6 5 2 3 4" xfId="1622"/>
    <cellStyle name="Normal 6 5 2 3 4 2" xfId="3626"/>
    <cellStyle name="Normal 6 5 2 3 5" xfId="2624"/>
    <cellStyle name="Normal 6 5 2 4" xfId="741"/>
    <cellStyle name="Normal 6 5 2 4 2" xfId="1245"/>
    <cellStyle name="Normal 6 5 2 4 2 2" xfId="2247"/>
    <cellStyle name="Normal 6 5 2 4 2 2 2" xfId="4251"/>
    <cellStyle name="Normal 6 5 2 4 2 3" xfId="3249"/>
    <cellStyle name="Normal 6 5 2 4 3" xfId="1746"/>
    <cellStyle name="Normal 6 5 2 4 3 2" xfId="3750"/>
    <cellStyle name="Normal 6 5 2 4 4" xfId="2748"/>
    <cellStyle name="Normal 6 5 2 5" xfId="997"/>
    <cellStyle name="Normal 6 5 2 5 2" xfId="1999"/>
    <cellStyle name="Normal 6 5 2 5 2 2" xfId="4003"/>
    <cellStyle name="Normal 6 5 2 5 3" xfId="3001"/>
    <cellStyle name="Normal 6 5 2 6" xfId="1498"/>
    <cellStyle name="Normal 6 5 2 6 2" xfId="3502"/>
    <cellStyle name="Normal 6 5 2 7" xfId="2500"/>
    <cellStyle name="Normal 6 5 3" xfId="513"/>
    <cellStyle name="Normal 6 5 3 2" xfId="569"/>
    <cellStyle name="Normal 6 5 3 2 2" xfId="693"/>
    <cellStyle name="Normal 6 5 3 2 2 2" xfId="941"/>
    <cellStyle name="Normal 6 5 3 2 2 2 2" xfId="1445"/>
    <cellStyle name="Normal 6 5 3 2 2 2 2 2" xfId="2447"/>
    <cellStyle name="Normal 6 5 3 2 2 2 2 2 2" xfId="4451"/>
    <cellStyle name="Normal 6 5 3 2 2 2 2 3" xfId="3449"/>
    <cellStyle name="Normal 6 5 3 2 2 2 3" xfId="1946"/>
    <cellStyle name="Normal 6 5 3 2 2 2 3 2" xfId="3950"/>
    <cellStyle name="Normal 6 5 3 2 2 2 4" xfId="2948"/>
    <cellStyle name="Normal 6 5 3 2 2 3" xfId="1197"/>
    <cellStyle name="Normal 6 5 3 2 2 3 2" xfId="2199"/>
    <cellStyle name="Normal 6 5 3 2 2 3 2 2" xfId="4203"/>
    <cellStyle name="Normal 6 5 3 2 2 3 3" xfId="3201"/>
    <cellStyle name="Normal 6 5 3 2 2 4" xfId="1698"/>
    <cellStyle name="Normal 6 5 3 2 2 4 2" xfId="3702"/>
    <cellStyle name="Normal 6 5 3 2 2 5" xfId="2700"/>
    <cellStyle name="Normal 6 5 3 2 3" xfId="817"/>
    <cellStyle name="Normal 6 5 3 2 3 2" xfId="1321"/>
    <cellStyle name="Normal 6 5 3 2 3 2 2" xfId="2323"/>
    <cellStyle name="Normal 6 5 3 2 3 2 2 2" xfId="4327"/>
    <cellStyle name="Normal 6 5 3 2 3 2 3" xfId="3325"/>
    <cellStyle name="Normal 6 5 3 2 3 3" xfId="1822"/>
    <cellStyle name="Normal 6 5 3 2 3 3 2" xfId="3826"/>
    <cellStyle name="Normal 6 5 3 2 3 4" xfId="2824"/>
    <cellStyle name="Normal 6 5 3 2 4" xfId="1073"/>
    <cellStyle name="Normal 6 5 3 2 4 2" xfId="2075"/>
    <cellStyle name="Normal 6 5 3 2 4 2 2" xfId="4079"/>
    <cellStyle name="Normal 6 5 3 2 4 3" xfId="3077"/>
    <cellStyle name="Normal 6 5 3 2 5" xfId="1574"/>
    <cellStyle name="Normal 6 5 3 2 5 2" xfId="3578"/>
    <cellStyle name="Normal 6 5 3 2 6" xfId="2576"/>
    <cellStyle name="Normal 6 5 3 3" xfId="637"/>
    <cellStyle name="Normal 6 5 3 3 2" xfId="885"/>
    <cellStyle name="Normal 6 5 3 3 2 2" xfId="1389"/>
    <cellStyle name="Normal 6 5 3 3 2 2 2" xfId="2391"/>
    <cellStyle name="Normal 6 5 3 3 2 2 2 2" xfId="4395"/>
    <cellStyle name="Normal 6 5 3 3 2 2 3" xfId="3393"/>
    <cellStyle name="Normal 6 5 3 3 2 3" xfId="1890"/>
    <cellStyle name="Normal 6 5 3 3 2 3 2" xfId="3894"/>
    <cellStyle name="Normal 6 5 3 3 2 4" xfId="2892"/>
    <cellStyle name="Normal 6 5 3 3 3" xfId="1141"/>
    <cellStyle name="Normal 6 5 3 3 3 2" xfId="2143"/>
    <cellStyle name="Normal 6 5 3 3 3 2 2" xfId="4147"/>
    <cellStyle name="Normal 6 5 3 3 3 3" xfId="3145"/>
    <cellStyle name="Normal 6 5 3 3 4" xfId="1642"/>
    <cellStyle name="Normal 6 5 3 3 4 2" xfId="3646"/>
    <cellStyle name="Normal 6 5 3 3 5" xfId="2644"/>
    <cellStyle name="Normal 6 5 3 4" xfId="761"/>
    <cellStyle name="Normal 6 5 3 4 2" xfId="1265"/>
    <cellStyle name="Normal 6 5 3 4 2 2" xfId="2267"/>
    <cellStyle name="Normal 6 5 3 4 2 2 2" xfId="4271"/>
    <cellStyle name="Normal 6 5 3 4 2 3" xfId="3269"/>
    <cellStyle name="Normal 6 5 3 4 3" xfId="1766"/>
    <cellStyle name="Normal 6 5 3 4 3 2" xfId="3770"/>
    <cellStyle name="Normal 6 5 3 4 4" xfId="2768"/>
    <cellStyle name="Normal 6 5 3 5" xfId="1017"/>
    <cellStyle name="Normal 6 5 3 5 2" xfId="2019"/>
    <cellStyle name="Normal 6 5 3 5 2 2" xfId="4023"/>
    <cellStyle name="Normal 6 5 3 5 3" xfId="3021"/>
    <cellStyle name="Normal 6 5 3 6" xfId="1518"/>
    <cellStyle name="Normal 6 5 3 6 2" xfId="3522"/>
    <cellStyle name="Normal 6 5 3 7" xfId="2520"/>
    <cellStyle name="Normal 6 5 4" xfId="567"/>
    <cellStyle name="Normal 6 5 4 2" xfId="691"/>
    <cellStyle name="Normal 6 5 4 2 2" xfId="939"/>
    <cellStyle name="Normal 6 5 4 2 2 2" xfId="1443"/>
    <cellStyle name="Normal 6 5 4 2 2 2 2" xfId="2445"/>
    <cellStyle name="Normal 6 5 4 2 2 2 2 2" xfId="4449"/>
    <cellStyle name="Normal 6 5 4 2 2 2 3" xfId="3447"/>
    <cellStyle name="Normal 6 5 4 2 2 3" xfId="1944"/>
    <cellStyle name="Normal 6 5 4 2 2 3 2" xfId="3948"/>
    <cellStyle name="Normal 6 5 4 2 2 4" xfId="2946"/>
    <cellStyle name="Normal 6 5 4 2 3" xfId="1195"/>
    <cellStyle name="Normal 6 5 4 2 3 2" xfId="2197"/>
    <cellStyle name="Normal 6 5 4 2 3 2 2" xfId="4201"/>
    <cellStyle name="Normal 6 5 4 2 3 3" xfId="3199"/>
    <cellStyle name="Normal 6 5 4 2 4" xfId="1696"/>
    <cellStyle name="Normal 6 5 4 2 4 2" xfId="3700"/>
    <cellStyle name="Normal 6 5 4 2 5" xfId="2698"/>
    <cellStyle name="Normal 6 5 4 3" xfId="815"/>
    <cellStyle name="Normal 6 5 4 3 2" xfId="1319"/>
    <cellStyle name="Normal 6 5 4 3 2 2" xfId="2321"/>
    <cellStyle name="Normal 6 5 4 3 2 2 2" xfId="4325"/>
    <cellStyle name="Normal 6 5 4 3 2 3" xfId="3323"/>
    <cellStyle name="Normal 6 5 4 3 3" xfId="1820"/>
    <cellStyle name="Normal 6 5 4 3 3 2" xfId="3824"/>
    <cellStyle name="Normal 6 5 4 3 4" xfId="2822"/>
    <cellStyle name="Normal 6 5 4 4" xfId="1071"/>
    <cellStyle name="Normal 6 5 4 4 2" xfId="2073"/>
    <cellStyle name="Normal 6 5 4 4 2 2" xfId="4077"/>
    <cellStyle name="Normal 6 5 4 4 3" xfId="3075"/>
    <cellStyle name="Normal 6 5 4 5" xfId="1572"/>
    <cellStyle name="Normal 6 5 4 5 2" xfId="3576"/>
    <cellStyle name="Normal 6 5 4 6" xfId="2574"/>
    <cellStyle name="Normal 6 5 5" xfId="595"/>
    <cellStyle name="Normal 6 5 5 2" xfId="843"/>
    <cellStyle name="Normal 6 5 5 2 2" xfId="1347"/>
    <cellStyle name="Normal 6 5 5 2 2 2" xfId="2349"/>
    <cellStyle name="Normal 6 5 5 2 2 2 2" xfId="4353"/>
    <cellStyle name="Normal 6 5 5 2 2 3" xfId="3351"/>
    <cellStyle name="Normal 6 5 5 2 3" xfId="1848"/>
    <cellStyle name="Normal 6 5 5 2 3 2" xfId="3852"/>
    <cellStyle name="Normal 6 5 5 2 4" xfId="2850"/>
    <cellStyle name="Normal 6 5 5 3" xfId="1099"/>
    <cellStyle name="Normal 6 5 5 3 2" xfId="2101"/>
    <cellStyle name="Normal 6 5 5 3 2 2" xfId="4105"/>
    <cellStyle name="Normal 6 5 5 3 3" xfId="3103"/>
    <cellStyle name="Normal 6 5 5 4" xfId="1600"/>
    <cellStyle name="Normal 6 5 5 4 2" xfId="3604"/>
    <cellStyle name="Normal 6 5 5 5" xfId="2602"/>
    <cellStyle name="Normal 6 5 6" xfId="719"/>
    <cellStyle name="Normal 6 5 6 2" xfId="1223"/>
    <cellStyle name="Normal 6 5 6 2 2" xfId="2225"/>
    <cellStyle name="Normal 6 5 6 2 2 2" xfId="4229"/>
    <cellStyle name="Normal 6 5 6 2 3" xfId="3227"/>
    <cellStyle name="Normal 6 5 6 3" xfId="1724"/>
    <cellStyle name="Normal 6 5 6 3 2" xfId="3728"/>
    <cellStyle name="Normal 6 5 6 4" xfId="2726"/>
    <cellStyle name="Normal 6 5 7" xfId="975"/>
    <cellStyle name="Normal 6 5 7 2" xfId="1977"/>
    <cellStyle name="Normal 6 5 7 2 2" xfId="3981"/>
    <cellStyle name="Normal 6 5 7 3" xfId="2979"/>
    <cellStyle name="Normal 6 5 8" xfId="1476"/>
    <cellStyle name="Normal 6 5 8 2" xfId="3480"/>
    <cellStyle name="Normal 6 5 9" xfId="2478"/>
    <cellStyle name="Normal 6 6" xfId="465"/>
    <cellStyle name="Normal 6 6 2" xfId="495"/>
    <cellStyle name="Normal 6 6 2 2" xfId="571"/>
    <cellStyle name="Normal 6 6 2 2 2" xfId="695"/>
    <cellStyle name="Normal 6 6 2 2 2 2" xfId="943"/>
    <cellStyle name="Normal 6 6 2 2 2 2 2" xfId="1447"/>
    <cellStyle name="Normal 6 6 2 2 2 2 2 2" xfId="2449"/>
    <cellStyle name="Normal 6 6 2 2 2 2 2 2 2" xfId="4453"/>
    <cellStyle name="Normal 6 6 2 2 2 2 2 3" xfId="3451"/>
    <cellStyle name="Normal 6 6 2 2 2 2 3" xfId="1948"/>
    <cellStyle name="Normal 6 6 2 2 2 2 3 2" xfId="3952"/>
    <cellStyle name="Normal 6 6 2 2 2 2 4" xfId="2950"/>
    <cellStyle name="Normal 6 6 2 2 2 3" xfId="1199"/>
    <cellStyle name="Normal 6 6 2 2 2 3 2" xfId="2201"/>
    <cellStyle name="Normal 6 6 2 2 2 3 2 2" xfId="4205"/>
    <cellStyle name="Normal 6 6 2 2 2 3 3" xfId="3203"/>
    <cellStyle name="Normal 6 6 2 2 2 4" xfId="1700"/>
    <cellStyle name="Normal 6 6 2 2 2 4 2" xfId="3704"/>
    <cellStyle name="Normal 6 6 2 2 2 5" xfId="2702"/>
    <cellStyle name="Normal 6 6 2 2 3" xfId="819"/>
    <cellStyle name="Normal 6 6 2 2 3 2" xfId="1323"/>
    <cellStyle name="Normal 6 6 2 2 3 2 2" xfId="2325"/>
    <cellStyle name="Normal 6 6 2 2 3 2 2 2" xfId="4329"/>
    <cellStyle name="Normal 6 6 2 2 3 2 3" xfId="3327"/>
    <cellStyle name="Normal 6 6 2 2 3 3" xfId="1824"/>
    <cellStyle name="Normal 6 6 2 2 3 3 2" xfId="3828"/>
    <cellStyle name="Normal 6 6 2 2 3 4" xfId="2826"/>
    <cellStyle name="Normal 6 6 2 2 4" xfId="1075"/>
    <cellStyle name="Normal 6 6 2 2 4 2" xfId="2077"/>
    <cellStyle name="Normal 6 6 2 2 4 2 2" xfId="4081"/>
    <cellStyle name="Normal 6 6 2 2 4 3" xfId="3079"/>
    <cellStyle name="Normal 6 6 2 2 5" xfId="1576"/>
    <cellStyle name="Normal 6 6 2 2 5 2" xfId="3580"/>
    <cellStyle name="Normal 6 6 2 2 6" xfId="2578"/>
    <cellStyle name="Normal 6 6 2 3" xfId="619"/>
    <cellStyle name="Normal 6 6 2 3 2" xfId="867"/>
    <cellStyle name="Normal 6 6 2 3 2 2" xfId="1371"/>
    <cellStyle name="Normal 6 6 2 3 2 2 2" xfId="2373"/>
    <cellStyle name="Normal 6 6 2 3 2 2 2 2" xfId="4377"/>
    <cellStyle name="Normal 6 6 2 3 2 2 3" xfId="3375"/>
    <cellStyle name="Normal 6 6 2 3 2 3" xfId="1872"/>
    <cellStyle name="Normal 6 6 2 3 2 3 2" xfId="3876"/>
    <cellStyle name="Normal 6 6 2 3 2 4" xfId="2874"/>
    <cellStyle name="Normal 6 6 2 3 3" xfId="1123"/>
    <cellStyle name="Normal 6 6 2 3 3 2" xfId="2125"/>
    <cellStyle name="Normal 6 6 2 3 3 2 2" xfId="4129"/>
    <cellStyle name="Normal 6 6 2 3 3 3" xfId="3127"/>
    <cellStyle name="Normal 6 6 2 3 4" xfId="1624"/>
    <cellStyle name="Normal 6 6 2 3 4 2" xfId="3628"/>
    <cellStyle name="Normal 6 6 2 3 5" xfId="2626"/>
    <cellStyle name="Normal 6 6 2 4" xfId="743"/>
    <cellStyle name="Normal 6 6 2 4 2" xfId="1247"/>
    <cellStyle name="Normal 6 6 2 4 2 2" xfId="2249"/>
    <cellStyle name="Normal 6 6 2 4 2 2 2" xfId="4253"/>
    <cellStyle name="Normal 6 6 2 4 2 3" xfId="3251"/>
    <cellStyle name="Normal 6 6 2 4 3" xfId="1748"/>
    <cellStyle name="Normal 6 6 2 4 3 2" xfId="3752"/>
    <cellStyle name="Normal 6 6 2 4 4" xfId="2750"/>
    <cellStyle name="Normal 6 6 2 5" xfId="999"/>
    <cellStyle name="Normal 6 6 2 5 2" xfId="2001"/>
    <cellStyle name="Normal 6 6 2 5 2 2" xfId="4005"/>
    <cellStyle name="Normal 6 6 2 5 3" xfId="3003"/>
    <cellStyle name="Normal 6 6 2 6" xfId="1500"/>
    <cellStyle name="Normal 6 6 2 6 2" xfId="3504"/>
    <cellStyle name="Normal 6 6 2 7" xfId="2502"/>
    <cellStyle name="Normal 6 6 3" xfId="515"/>
    <cellStyle name="Normal 6 6 3 2" xfId="572"/>
    <cellStyle name="Normal 6 6 3 2 2" xfId="696"/>
    <cellStyle name="Normal 6 6 3 2 2 2" xfId="944"/>
    <cellStyle name="Normal 6 6 3 2 2 2 2" xfId="1448"/>
    <cellStyle name="Normal 6 6 3 2 2 2 2 2" xfId="2450"/>
    <cellStyle name="Normal 6 6 3 2 2 2 2 2 2" xfId="4454"/>
    <cellStyle name="Normal 6 6 3 2 2 2 2 3" xfId="3452"/>
    <cellStyle name="Normal 6 6 3 2 2 2 3" xfId="1949"/>
    <cellStyle name="Normal 6 6 3 2 2 2 3 2" xfId="3953"/>
    <cellStyle name="Normal 6 6 3 2 2 2 4" xfId="2951"/>
    <cellStyle name="Normal 6 6 3 2 2 3" xfId="1200"/>
    <cellStyle name="Normal 6 6 3 2 2 3 2" xfId="2202"/>
    <cellStyle name="Normal 6 6 3 2 2 3 2 2" xfId="4206"/>
    <cellStyle name="Normal 6 6 3 2 2 3 3" xfId="3204"/>
    <cellStyle name="Normal 6 6 3 2 2 4" xfId="1701"/>
    <cellStyle name="Normal 6 6 3 2 2 4 2" xfId="3705"/>
    <cellStyle name="Normal 6 6 3 2 2 5" xfId="2703"/>
    <cellStyle name="Normal 6 6 3 2 3" xfId="820"/>
    <cellStyle name="Normal 6 6 3 2 3 2" xfId="1324"/>
    <cellStyle name="Normal 6 6 3 2 3 2 2" xfId="2326"/>
    <cellStyle name="Normal 6 6 3 2 3 2 2 2" xfId="4330"/>
    <cellStyle name="Normal 6 6 3 2 3 2 3" xfId="3328"/>
    <cellStyle name="Normal 6 6 3 2 3 3" xfId="1825"/>
    <cellStyle name="Normal 6 6 3 2 3 3 2" xfId="3829"/>
    <cellStyle name="Normal 6 6 3 2 3 4" xfId="2827"/>
    <cellStyle name="Normal 6 6 3 2 4" xfId="1076"/>
    <cellStyle name="Normal 6 6 3 2 4 2" xfId="2078"/>
    <cellStyle name="Normal 6 6 3 2 4 2 2" xfId="4082"/>
    <cellStyle name="Normal 6 6 3 2 4 3" xfId="3080"/>
    <cellStyle name="Normal 6 6 3 2 5" xfId="1577"/>
    <cellStyle name="Normal 6 6 3 2 5 2" xfId="3581"/>
    <cellStyle name="Normal 6 6 3 2 6" xfId="2579"/>
    <cellStyle name="Normal 6 6 3 3" xfId="639"/>
    <cellStyle name="Normal 6 6 3 3 2" xfId="887"/>
    <cellStyle name="Normal 6 6 3 3 2 2" xfId="1391"/>
    <cellStyle name="Normal 6 6 3 3 2 2 2" xfId="2393"/>
    <cellStyle name="Normal 6 6 3 3 2 2 2 2" xfId="4397"/>
    <cellStyle name="Normal 6 6 3 3 2 2 3" xfId="3395"/>
    <cellStyle name="Normal 6 6 3 3 2 3" xfId="1892"/>
    <cellStyle name="Normal 6 6 3 3 2 3 2" xfId="3896"/>
    <cellStyle name="Normal 6 6 3 3 2 4" xfId="2894"/>
    <cellStyle name="Normal 6 6 3 3 3" xfId="1143"/>
    <cellStyle name="Normal 6 6 3 3 3 2" xfId="2145"/>
    <cellStyle name="Normal 6 6 3 3 3 2 2" xfId="4149"/>
    <cellStyle name="Normal 6 6 3 3 3 3" xfId="3147"/>
    <cellStyle name="Normal 6 6 3 3 4" xfId="1644"/>
    <cellStyle name="Normal 6 6 3 3 4 2" xfId="3648"/>
    <cellStyle name="Normal 6 6 3 3 5" xfId="2646"/>
    <cellStyle name="Normal 6 6 3 4" xfId="763"/>
    <cellStyle name="Normal 6 6 3 4 2" xfId="1267"/>
    <cellStyle name="Normal 6 6 3 4 2 2" xfId="2269"/>
    <cellStyle name="Normal 6 6 3 4 2 2 2" xfId="4273"/>
    <cellStyle name="Normal 6 6 3 4 2 3" xfId="3271"/>
    <cellStyle name="Normal 6 6 3 4 3" xfId="1768"/>
    <cellStyle name="Normal 6 6 3 4 3 2" xfId="3772"/>
    <cellStyle name="Normal 6 6 3 4 4" xfId="2770"/>
    <cellStyle name="Normal 6 6 3 5" xfId="1019"/>
    <cellStyle name="Normal 6 6 3 5 2" xfId="2021"/>
    <cellStyle name="Normal 6 6 3 5 2 2" xfId="4025"/>
    <cellStyle name="Normal 6 6 3 5 3" xfId="3023"/>
    <cellStyle name="Normal 6 6 3 6" xfId="1520"/>
    <cellStyle name="Normal 6 6 3 6 2" xfId="3524"/>
    <cellStyle name="Normal 6 6 3 7" xfId="2522"/>
    <cellStyle name="Normal 6 6 4" xfId="570"/>
    <cellStyle name="Normal 6 6 4 2" xfId="694"/>
    <cellStyle name="Normal 6 6 4 2 2" xfId="942"/>
    <cellStyle name="Normal 6 6 4 2 2 2" xfId="1446"/>
    <cellStyle name="Normal 6 6 4 2 2 2 2" xfId="2448"/>
    <cellStyle name="Normal 6 6 4 2 2 2 2 2" xfId="4452"/>
    <cellStyle name="Normal 6 6 4 2 2 2 3" xfId="3450"/>
    <cellStyle name="Normal 6 6 4 2 2 3" xfId="1947"/>
    <cellStyle name="Normal 6 6 4 2 2 3 2" xfId="3951"/>
    <cellStyle name="Normal 6 6 4 2 2 4" xfId="2949"/>
    <cellStyle name="Normal 6 6 4 2 3" xfId="1198"/>
    <cellStyle name="Normal 6 6 4 2 3 2" xfId="2200"/>
    <cellStyle name="Normal 6 6 4 2 3 2 2" xfId="4204"/>
    <cellStyle name="Normal 6 6 4 2 3 3" xfId="3202"/>
    <cellStyle name="Normal 6 6 4 2 4" xfId="1699"/>
    <cellStyle name="Normal 6 6 4 2 4 2" xfId="3703"/>
    <cellStyle name="Normal 6 6 4 2 5" xfId="2701"/>
    <cellStyle name="Normal 6 6 4 3" xfId="818"/>
    <cellStyle name="Normal 6 6 4 3 2" xfId="1322"/>
    <cellStyle name="Normal 6 6 4 3 2 2" xfId="2324"/>
    <cellStyle name="Normal 6 6 4 3 2 2 2" xfId="4328"/>
    <cellStyle name="Normal 6 6 4 3 2 3" xfId="3326"/>
    <cellStyle name="Normal 6 6 4 3 3" xfId="1823"/>
    <cellStyle name="Normal 6 6 4 3 3 2" xfId="3827"/>
    <cellStyle name="Normal 6 6 4 3 4" xfId="2825"/>
    <cellStyle name="Normal 6 6 4 4" xfId="1074"/>
    <cellStyle name="Normal 6 6 4 4 2" xfId="2076"/>
    <cellStyle name="Normal 6 6 4 4 2 2" xfId="4080"/>
    <cellStyle name="Normal 6 6 4 4 3" xfId="3078"/>
    <cellStyle name="Normal 6 6 4 5" xfId="1575"/>
    <cellStyle name="Normal 6 6 4 5 2" xfId="3579"/>
    <cellStyle name="Normal 6 6 4 6" xfId="2577"/>
    <cellStyle name="Normal 6 6 5" xfId="597"/>
    <cellStyle name="Normal 6 6 5 2" xfId="845"/>
    <cellStyle name="Normal 6 6 5 2 2" xfId="1349"/>
    <cellStyle name="Normal 6 6 5 2 2 2" xfId="2351"/>
    <cellStyle name="Normal 6 6 5 2 2 2 2" xfId="4355"/>
    <cellStyle name="Normal 6 6 5 2 2 3" xfId="3353"/>
    <cellStyle name="Normal 6 6 5 2 3" xfId="1850"/>
    <cellStyle name="Normal 6 6 5 2 3 2" xfId="3854"/>
    <cellStyle name="Normal 6 6 5 2 4" xfId="2852"/>
    <cellStyle name="Normal 6 6 5 3" xfId="1101"/>
    <cellStyle name="Normal 6 6 5 3 2" xfId="2103"/>
    <cellStyle name="Normal 6 6 5 3 2 2" xfId="4107"/>
    <cellStyle name="Normal 6 6 5 3 3" xfId="3105"/>
    <cellStyle name="Normal 6 6 5 4" xfId="1602"/>
    <cellStyle name="Normal 6 6 5 4 2" xfId="3606"/>
    <cellStyle name="Normal 6 6 5 5" xfId="2604"/>
    <cellStyle name="Normal 6 6 6" xfId="721"/>
    <cellStyle name="Normal 6 6 6 2" xfId="1225"/>
    <cellStyle name="Normal 6 6 6 2 2" xfId="2227"/>
    <cellStyle name="Normal 6 6 6 2 2 2" xfId="4231"/>
    <cellStyle name="Normal 6 6 6 2 3" xfId="3229"/>
    <cellStyle name="Normal 6 6 6 3" xfId="1726"/>
    <cellStyle name="Normal 6 6 6 3 2" xfId="3730"/>
    <cellStyle name="Normal 6 6 6 4" xfId="2728"/>
    <cellStyle name="Normal 6 6 7" xfId="977"/>
    <cellStyle name="Normal 6 6 7 2" xfId="1979"/>
    <cellStyle name="Normal 6 6 7 2 2" xfId="3983"/>
    <cellStyle name="Normal 6 6 7 3" xfId="2981"/>
    <cellStyle name="Normal 6 6 8" xfId="1478"/>
    <cellStyle name="Normal 6 6 8 2" xfId="3482"/>
    <cellStyle name="Normal 6 6 9" xfId="2480"/>
    <cellStyle name="Normal 6 7" xfId="467"/>
    <cellStyle name="Normal 6 7 2" xfId="497"/>
    <cellStyle name="Normal 6 7 2 2" xfId="574"/>
    <cellStyle name="Normal 6 7 2 2 2" xfId="698"/>
    <cellStyle name="Normal 6 7 2 2 2 2" xfId="946"/>
    <cellStyle name="Normal 6 7 2 2 2 2 2" xfId="1450"/>
    <cellStyle name="Normal 6 7 2 2 2 2 2 2" xfId="2452"/>
    <cellStyle name="Normal 6 7 2 2 2 2 2 2 2" xfId="4456"/>
    <cellStyle name="Normal 6 7 2 2 2 2 2 3" xfId="3454"/>
    <cellStyle name="Normal 6 7 2 2 2 2 3" xfId="1951"/>
    <cellStyle name="Normal 6 7 2 2 2 2 3 2" xfId="3955"/>
    <cellStyle name="Normal 6 7 2 2 2 2 4" xfId="2953"/>
    <cellStyle name="Normal 6 7 2 2 2 3" xfId="1202"/>
    <cellStyle name="Normal 6 7 2 2 2 3 2" xfId="2204"/>
    <cellStyle name="Normal 6 7 2 2 2 3 2 2" xfId="4208"/>
    <cellStyle name="Normal 6 7 2 2 2 3 3" xfId="3206"/>
    <cellStyle name="Normal 6 7 2 2 2 4" xfId="1703"/>
    <cellStyle name="Normal 6 7 2 2 2 4 2" xfId="3707"/>
    <cellStyle name="Normal 6 7 2 2 2 5" xfId="2705"/>
    <cellStyle name="Normal 6 7 2 2 3" xfId="822"/>
    <cellStyle name="Normal 6 7 2 2 3 2" xfId="1326"/>
    <cellStyle name="Normal 6 7 2 2 3 2 2" xfId="2328"/>
    <cellStyle name="Normal 6 7 2 2 3 2 2 2" xfId="4332"/>
    <cellStyle name="Normal 6 7 2 2 3 2 3" xfId="3330"/>
    <cellStyle name="Normal 6 7 2 2 3 3" xfId="1827"/>
    <cellStyle name="Normal 6 7 2 2 3 3 2" xfId="3831"/>
    <cellStyle name="Normal 6 7 2 2 3 4" xfId="2829"/>
    <cellStyle name="Normal 6 7 2 2 4" xfId="1078"/>
    <cellStyle name="Normal 6 7 2 2 4 2" xfId="2080"/>
    <cellStyle name="Normal 6 7 2 2 4 2 2" xfId="4084"/>
    <cellStyle name="Normal 6 7 2 2 4 3" xfId="3082"/>
    <cellStyle name="Normal 6 7 2 2 5" xfId="1579"/>
    <cellStyle name="Normal 6 7 2 2 5 2" xfId="3583"/>
    <cellStyle name="Normal 6 7 2 2 6" xfId="2581"/>
    <cellStyle name="Normal 6 7 2 3" xfId="621"/>
    <cellStyle name="Normal 6 7 2 3 2" xfId="869"/>
    <cellStyle name="Normal 6 7 2 3 2 2" xfId="1373"/>
    <cellStyle name="Normal 6 7 2 3 2 2 2" xfId="2375"/>
    <cellStyle name="Normal 6 7 2 3 2 2 2 2" xfId="4379"/>
    <cellStyle name="Normal 6 7 2 3 2 2 3" xfId="3377"/>
    <cellStyle name="Normal 6 7 2 3 2 3" xfId="1874"/>
    <cellStyle name="Normal 6 7 2 3 2 3 2" xfId="3878"/>
    <cellStyle name="Normal 6 7 2 3 2 4" xfId="2876"/>
    <cellStyle name="Normal 6 7 2 3 3" xfId="1125"/>
    <cellStyle name="Normal 6 7 2 3 3 2" xfId="2127"/>
    <cellStyle name="Normal 6 7 2 3 3 2 2" xfId="4131"/>
    <cellStyle name="Normal 6 7 2 3 3 3" xfId="3129"/>
    <cellStyle name="Normal 6 7 2 3 4" xfId="1626"/>
    <cellStyle name="Normal 6 7 2 3 4 2" xfId="3630"/>
    <cellStyle name="Normal 6 7 2 3 5" xfId="2628"/>
    <cellStyle name="Normal 6 7 2 4" xfId="745"/>
    <cellStyle name="Normal 6 7 2 4 2" xfId="1249"/>
    <cellStyle name="Normal 6 7 2 4 2 2" xfId="2251"/>
    <cellStyle name="Normal 6 7 2 4 2 2 2" xfId="4255"/>
    <cellStyle name="Normal 6 7 2 4 2 3" xfId="3253"/>
    <cellStyle name="Normal 6 7 2 4 3" xfId="1750"/>
    <cellStyle name="Normal 6 7 2 4 3 2" xfId="3754"/>
    <cellStyle name="Normal 6 7 2 4 4" xfId="2752"/>
    <cellStyle name="Normal 6 7 2 5" xfId="1001"/>
    <cellStyle name="Normal 6 7 2 5 2" xfId="2003"/>
    <cellStyle name="Normal 6 7 2 5 2 2" xfId="4007"/>
    <cellStyle name="Normal 6 7 2 5 3" xfId="3005"/>
    <cellStyle name="Normal 6 7 2 6" xfId="1502"/>
    <cellStyle name="Normal 6 7 2 6 2" xfId="3506"/>
    <cellStyle name="Normal 6 7 2 7" xfId="2504"/>
    <cellStyle name="Normal 6 7 3" xfId="517"/>
    <cellStyle name="Normal 6 7 3 2" xfId="575"/>
    <cellStyle name="Normal 6 7 3 2 2" xfId="699"/>
    <cellStyle name="Normal 6 7 3 2 2 2" xfId="947"/>
    <cellStyle name="Normal 6 7 3 2 2 2 2" xfId="1451"/>
    <cellStyle name="Normal 6 7 3 2 2 2 2 2" xfId="2453"/>
    <cellStyle name="Normal 6 7 3 2 2 2 2 2 2" xfId="4457"/>
    <cellStyle name="Normal 6 7 3 2 2 2 2 3" xfId="3455"/>
    <cellStyle name="Normal 6 7 3 2 2 2 3" xfId="1952"/>
    <cellStyle name="Normal 6 7 3 2 2 2 3 2" xfId="3956"/>
    <cellStyle name="Normal 6 7 3 2 2 2 4" xfId="2954"/>
    <cellStyle name="Normal 6 7 3 2 2 3" xfId="1203"/>
    <cellStyle name="Normal 6 7 3 2 2 3 2" xfId="2205"/>
    <cellStyle name="Normal 6 7 3 2 2 3 2 2" xfId="4209"/>
    <cellStyle name="Normal 6 7 3 2 2 3 3" xfId="3207"/>
    <cellStyle name="Normal 6 7 3 2 2 4" xfId="1704"/>
    <cellStyle name="Normal 6 7 3 2 2 4 2" xfId="3708"/>
    <cellStyle name="Normal 6 7 3 2 2 5" xfId="2706"/>
    <cellStyle name="Normal 6 7 3 2 3" xfId="823"/>
    <cellStyle name="Normal 6 7 3 2 3 2" xfId="1327"/>
    <cellStyle name="Normal 6 7 3 2 3 2 2" xfId="2329"/>
    <cellStyle name="Normal 6 7 3 2 3 2 2 2" xfId="4333"/>
    <cellStyle name="Normal 6 7 3 2 3 2 3" xfId="3331"/>
    <cellStyle name="Normal 6 7 3 2 3 3" xfId="1828"/>
    <cellStyle name="Normal 6 7 3 2 3 3 2" xfId="3832"/>
    <cellStyle name="Normal 6 7 3 2 3 4" xfId="2830"/>
    <cellStyle name="Normal 6 7 3 2 4" xfId="1079"/>
    <cellStyle name="Normal 6 7 3 2 4 2" xfId="2081"/>
    <cellStyle name="Normal 6 7 3 2 4 2 2" xfId="4085"/>
    <cellStyle name="Normal 6 7 3 2 4 3" xfId="3083"/>
    <cellStyle name="Normal 6 7 3 2 5" xfId="1580"/>
    <cellStyle name="Normal 6 7 3 2 5 2" xfId="3584"/>
    <cellStyle name="Normal 6 7 3 2 6" xfId="2582"/>
    <cellStyle name="Normal 6 7 3 3" xfId="641"/>
    <cellStyle name="Normal 6 7 3 3 2" xfId="889"/>
    <cellStyle name="Normal 6 7 3 3 2 2" xfId="1393"/>
    <cellStyle name="Normal 6 7 3 3 2 2 2" xfId="2395"/>
    <cellStyle name="Normal 6 7 3 3 2 2 2 2" xfId="4399"/>
    <cellStyle name="Normal 6 7 3 3 2 2 3" xfId="3397"/>
    <cellStyle name="Normal 6 7 3 3 2 3" xfId="1894"/>
    <cellStyle name="Normal 6 7 3 3 2 3 2" xfId="3898"/>
    <cellStyle name="Normal 6 7 3 3 2 4" xfId="2896"/>
    <cellStyle name="Normal 6 7 3 3 3" xfId="1145"/>
    <cellStyle name="Normal 6 7 3 3 3 2" xfId="2147"/>
    <cellStyle name="Normal 6 7 3 3 3 2 2" xfId="4151"/>
    <cellStyle name="Normal 6 7 3 3 3 3" xfId="3149"/>
    <cellStyle name="Normal 6 7 3 3 4" xfId="1646"/>
    <cellStyle name="Normal 6 7 3 3 4 2" xfId="3650"/>
    <cellStyle name="Normal 6 7 3 3 5" xfId="2648"/>
    <cellStyle name="Normal 6 7 3 4" xfId="765"/>
    <cellStyle name="Normal 6 7 3 4 2" xfId="1269"/>
    <cellStyle name="Normal 6 7 3 4 2 2" xfId="2271"/>
    <cellStyle name="Normal 6 7 3 4 2 2 2" xfId="4275"/>
    <cellStyle name="Normal 6 7 3 4 2 3" xfId="3273"/>
    <cellStyle name="Normal 6 7 3 4 3" xfId="1770"/>
    <cellStyle name="Normal 6 7 3 4 3 2" xfId="3774"/>
    <cellStyle name="Normal 6 7 3 4 4" xfId="2772"/>
    <cellStyle name="Normal 6 7 3 5" xfId="1021"/>
    <cellStyle name="Normal 6 7 3 5 2" xfId="2023"/>
    <cellStyle name="Normal 6 7 3 5 2 2" xfId="4027"/>
    <cellStyle name="Normal 6 7 3 5 3" xfId="3025"/>
    <cellStyle name="Normal 6 7 3 6" xfId="1522"/>
    <cellStyle name="Normal 6 7 3 6 2" xfId="3526"/>
    <cellStyle name="Normal 6 7 3 7" xfId="2524"/>
    <cellStyle name="Normal 6 7 4" xfId="573"/>
    <cellStyle name="Normal 6 7 4 2" xfId="697"/>
    <cellStyle name="Normal 6 7 4 2 2" xfId="945"/>
    <cellStyle name="Normal 6 7 4 2 2 2" xfId="1449"/>
    <cellStyle name="Normal 6 7 4 2 2 2 2" xfId="2451"/>
    <cellStyle name="Normal 6 7 4 2 2 2 2 2" xfId="4455"/>
    <cellStyle name="Normal 6 7 4 2 2 2 3" xfId="3453"/>
    <cellStyle name="Normal 6 7 4 2 2 3" xfId="1950"/>
    <cellStyle name="Normal 6 7 4 2 2 3 2" xfId="3954"/>
    <cellStyle name="Normal 6 7 4 2 2 4" xfId="2952"/>
    <cellStyle name="Normal 6 7 4 2 3" xfId="1201"/>
    <cellStyle name="Normal 6 7 4 2 3 2" xfId="2203"/>
    <cellStyle name="Normal 6 7 4 2 3 2 2" xfId="4207"/>
    <cellStyle name="Normal 6 7 4 2 3 3" xfId="3205"/>
    <cellStyle name="Normal 6 7 4 2 4" xfId="1702"/>
    <cellStyle name="Normal 6 7 4 2 4 2" xfId="3706"/>
    <cellStyle name="Normal 6 7 4 2 5" xfId="2704"/>
    <cellStyle name="Normal 6 7 4 3" xfId="821"/>
    <cellStyle name="Normal 6 7 4 3 2" xfId="1325"/>
    <cellStyle name="Normal 6 7 4 3 2 2" xfId="2327"/>
    <cellStyle name="Normal 6 7 4 3 2 2 2" xfId="4331"/>
    <cellStyle name="Normal 6 7 4 3 2 3" xfId="3329"/>
    <cellStyle name="Normal 6 7 4 3 3" xfId="1826"/>
    <cellStyle name="Normal 6 7 4 3 3 2" xfId="3830"/>
    <cellStyle name="Normal 6 7 4 3 4" xfId="2828"/>
    <cellStyle name="Normal 6 7 4 4" xfId="1077"/>
    <cellStyle name="Normal 6 7 4 4 2" xfId="2079"/>
    <cellStyle name="Normal 6 7 4 4 2 2" xfId="4083"/>
    <cellStyle name="Normal 6 7 4 4 3" xfId="3081"/>
    <cellStyle name="Normal 6 7 4 5" xfId="1578"/>
    <cellStyle name="Normal 6 7 4 5 2" xfId="3582"/>
    <cellStyle name="Normal 6 7 4 6" xfId="2580"/>
    <cellStyle name="Normal 6 7 5" xfId="599"/>
    <cellStyle name="Normal 6 7 5 2" xfId="847"/>
    <cellStyle name="Normal 6 7 5 2 2" xfId="1351"/>
    <cellStyle name="Normal 6 7 5 2 2 2" xfId="2353"/>
    <cellStyle name="Normal 6 7 5 2 2 2 2" xfId="4357"/>
    <cellStyle name="Normal 6 7 5 2 2 3" xfId="3355"/>
    <cellStyle name="Normal 6 7 5 2 3" xfId="1852"/>
    <cellStyle name="Normal 6 7 5 2 3 2" xfId="3856"/>
    <cellStyle name="Normal 6 7 5 2 4" xfId="2854"/>
    <cellStyle name="Normal 6 7 5 3" xfId="1103"/>
    <cellStyle name="Normal 6 7 5 3 2" xfId="2105"/>
    <cellStyle name="Normal 6 7 5 3 2 2" xfId="4109"/>
    <cellStyle name="Normal 6 7 5 3 3" xfId="3107"/>
    <cellStyle name="Normal 6 7 5 4" xfId="1604"/>
    <cellStyle name="Normal 6 7 5 4 2" xfId="3608"/>
    <cellStyle name="Normal 6 7 5 5" xfId="2606"/>
    <cellStyle name="Normal 6 7 6" xfId="723"/>
    <cellStyle name="Normal 6 7 6 2" xfId="1227"/>
    <cellStyle name="Normal 6 7 6 2 2" xfId="2229"/>
    <cellStyle name="Normal 6 7 6 2 2 2" xfId="4233"/>
    <cellStyle name="Normal 6 7 6 2 3" xfId="3231"/>
    <cellStyle name="Normal 6 7 6 3" xfId="1728"/>
    <cellStyle name="Normal 6 7 6 3 2" xfId="3732"/>
    <cellStyle name="Normal 6 7 6 4" xfId="2730"/>
    <cellStyle name="Normal 6 7 7" xfId="979"/>
    <cellStyle name="Normal 6 7 7 2" xfId="1981"/>
    <cellStyle name="Normal 6 7 7 2 2" xfId="3985"/>
    <cellStyle name="Normal 6 7 7 3" xfId="2983"/>
    <cellStyle name="Normal 6 7 8" xfId="1480"/>
    <cellStyle name="Normal 6 7 8 2" xfId="3484"/>
    <cellStyle name="Normal 6 7 9" xfId="2482"/>
    <cellStyle name="Normal 6 8" xfId="469"/>
    <cellStyle name="Normal 6 8 2" xfId="499"/>
    <cellStyle name="Normal 6 8 2 2" xfId="577"/>
    <cellStyle name="Normal 6 8 2 2 2" xfId="701"/>
    <cellStyle name="Normal 6 8 2 2 2 2" xfId="949"/>
    <cellStyle name="Normal 6 8 2 2 2 2 2" xfId="1453"/>
    <cellStyle name="Normal 6 8 2 2 2 2 2 2" xfId="2455"/>
    <cellStyle name="Normal 6 8 2 2 2 2 2 2 2" xfId="4459"/>
    <cellStyle name="Normal 6 8 2 2 2 2 2 3" xfId="3457"/>
    <cellStyle name="Normal 6 8 2 2 2 2 3" xfId="1954"/>
    <cellStyle name="Normal 6 8 2 2 2 2 3 2" xfId="3958"/>
    <cellStyle name="Normal 6 8 2 2 2 2 4" xfId="2956"/>
    <cellStyle name="Normal 6 8 2 2 2 3" xfId="1205"/>
    <cellStyle name="Normal 6 8 2 2 2 3 2" xfId="2207"/>
    <cellStyle name="Normal 6 8 2 2 2 3 2 2" xfId="4211"/>
    <cellStyle name="Normal 6 8 2 2 2 3 3" xfId="3209"/>
    <cellStyle name="Normal 6 8 2 2 2 4" xfId="1706"/>
    <cellStyle name="Normal 6 8 2 2 2 4 2" xfId="3710"/>
    <cellStyle name="Normal 6 8 2 2 2 5" xfId="2708"/>
    <cellStyle name="Normal 6 8 2 2 3" xfId="825"/>
    <cellStyle name="Normal 6 8 2 2 3 2" xfId="1329"/>
    <cellStyle name="Normal 6 8 2 2 3 2 2" xfId="2331"/>
    <cellStyle name="Normal 6 8 2 2 3 2 2 2" xfId="4335"/>
    <cellStyle name="Normal 6 8 2 2 3 2 3" xfId="3333"/>
    <cellStyle name="Normal 6 8 2 2 3 3" xfId="1830"/>
    <cellStyle name="Normal 6 8 2 2 3 3 2" xfId="3834"/>
    <cellStyle name="Normal 6 8 2 2 3 4" xfId="2832"/>
    <cellStyle name="Normal 6 8 2 2 4" xfId="1081"/>
    <cellStyle name="Normal 6 8 2 2 4 2" xfId="2083"/>
    <cellStyle name="Normal 6 8 2 2 4 2 2" xfId="4087"/>
    <cellStyle name="Normal 6 8 2 2 4 3" xfId="3085"/>
    <cellStyle name="Normal 6 8 2 2 5" xfId="1582"/>
    <cellStyle name="Normal 6 8 2 2 5 2" xfId="3586"/>
    <cellStyle name="Normal 6 8 2 2 6" xfId="2584"/>
    <cellStyle name="Normal 6 8 2 3" xfId="623"/>
    <cellStyle name="Normal 6 8 2 3 2" xfId="871"/>
    <cellStyle name="Normal 6 8 2 3 2 2" xfId="1375"/>
    <cellStyle name="Normal 6 8 2 3 2 2 2" xfId="2377"/>
    <cellStyle name="Normal 6 8 2 3 2 2 2 2" xfId="4381"/>
    <cellStyle name="Normal 6 8 2 3 2 2 3" xfId="3379"/>
    <cellStyle name="Normal 6 8 2 3 2 3" xfId="1876"/>
    <cellStyle name="Normal 6 8 2 3 2 3 2" xfId="3880"/>
    <cellStyle name="Normal 6 8 2 3 2 4" xfId="2878"/>
    <cellStyle name="Normal 6 8 2 3 3" xfId="1127"/>
    <cellStyle name="Normal 6 8 2 3 3 2" xfId="2129"/>
    <cellStyle name="Normal 6 8 2 3 3 2 2" xfId="4133"/>
    <cellStyle name="Normal 6 8 2 3 3 3" xfId="3131"/>
    <cellStyle name="Normal 6 8 2 3 4" xfId="1628"/>
    <cellStyle name="Normal 6 8 2 3 4 2" xfId="3632"/>
    <cellStyle name="Normal 6 8 2 3 5" xfId="2630"/>
    <cellStyle name="Normal 6 8 2 4" xfId="747"/>
    <cellStyle name="Normal 6 8 2 4 2" xfId="1251"/>
    <cellStyle name="Normal 6 8 2 4 2 2" xfId="2253"/>
    <cellStyle name="Normal 6 8 2 4 2 2 2" xfId="4257"/>
    <cellStyle name="Normal 6 8 2 4 2 3" xfId="3255"/>
    <cellStyle name="Normal 6 8 2 4 3" xfId="1752"/>
    <cellStyle name="Normal 6 8 2 4 3 2" xfId="3756"/>
    <cellStyle name="Normal 6 8 2 4 4" xfId="2754"/>
    <cellStyle name="Normal 6 8 2 5" xfId="1003"/>
    <cellStyle name="Normal 6 8 2 5 2" xfId="2005"/>
    <cellStyle name="Normal 6 8 2 5 2 2" xfId="4009"/>
    <cellStyle name="Normal 6 8 2 5 3" xfId="3007"/>
    <cellStyle name="Normal 6 8 2 6" xfId="1504"/>
    <cellStyle name="Normal 6 8 2 6 2" xfId="3508"/>
    <cellStyle name="Normal 6 8 2 7" xfId="2506"/>
    <cellStyle name="Normal 6 8 3" xfId="519"/>
    <cellStyle name="Normal 6 8 3 2" xfId="578"/>
    <cellStyle name="Normal 6 8 3 2 2" xfId="702"/>
    <cellStyle name="Normal 6 8 3 2 2 2" xfId="950"/>
    <cellStyle name="Normal 6 8 3 2 2 2 2" xfId="1454"/>
    <cellStyle name="Normal 6 8 3 2 2 2 2 2" xfId="2456"/>
    <cellStyle name="Normal 6 8 3 2 2 2 2 2 2" xfId="4460"/>
    <cellStyle name="Normal 6 8 3 2 2 2 2 3" xfId="3458"/>
    <cellStyle name="Normal 6 8 3 2 2 2 3" xfId="1955"/>
    <cellStyle name="Normal 6 8 3 2 2 2 3 2" xfId="3959"/>
    <cellStyle name="Normal 6 8 3 2 2 2 4" xfId="2957"/>
    <cellStyle name="Normal 6 8 3 2 2 3" xfId="1206"/>
    <cellStyle name="Normal 6 8 3 2 2 3 2" xfId="2208"/>
    <cellStyle name="Normal 6 8 3 2 2 3 2 2" xfId="4212"/>
    <cellStyle name="Normal 6 8 3 2 2 3 3" xfId="3210"/>
    <cellStyle name="Normal 6 8 3 2 2 4" xfId="1707"/>
    <cellStyle name="Normal 6 8 3 2 2 4 2" xfId="3711"/>
    <cellStyle name="Normal 6 8 3 2 2 5" xfId="2709"/>
    <cellStyle name="Normal 6 8 3 2 3" xfId="826"/>
    <cellStyle name="Normal 6 8 3 2 3 2" xfId="1330"/>
    <cellStyle name="Normal 6 8 3 2 3 2 2" xfId="2332"/>
    <cellStyle name="Normal 6 8 3 2 3 2 2 2" xfId="4336"/>
    <cellStyle name="Normal 6 8 3 2 3 2 3" xfId="3334"/>
    <cellStyle name="Normal 6 8 3 2 3 3" xfId="1831"/>
    <cellStyle name="Normal 6 8 3 2 3 3 2" xfId="3835"/>
    <cellStyle name="Normal 6 8 3 2 3 4" xfId="2833"/>
    <cellStyle name="Normal 6 8 3 2 4" xfId="1082"/>
    <cellStyle name="Normal 6 8 3 2 4 2" xfId="2084"/>
    <cellStyle name="Normal 6 8 3 2 4 2 2" xfId="4088"/>
    <cellStyle name="Normal 6 8 3 2 4 3" xfId="3086"/>
    <cellStyle name="Normal 6 8 3 2 5" xfId="1583"/>
    <cellStyle name="Normal 6 8 3 2 5 2" xfId="3587"/>
    <cellStyle name="Normal 6 8 3 2 6" xfId="2585"/>
    <cellStyle name="Normal 6 8 3 3" xfId="643"/>
    <cellStyle name="Normal 6 8 3 3 2" xfId="891"/>
    <cellStyle name="Normal 6 8 3 3 2 2" xfId="1395"/>
    <cellStyle name="Normal 6 8 3 3 2 2 2" xfId="2397"/>
    <cellStyle name="Normal 6 8 3 3 2 2 2 2" xfId="4401"/>
    <cellStyle name="Normal 6 8 3 3 2 2 3" xfId="3399"/>
    <cellStyle name="Normal 6 8 3 3 2 3" xfId="1896"/>
    <cellStyle name="Normal 6 8 3 3 2 3 2" xfId="3900"/>
    <cellStyle name="Normal 6 8 3 3 2 4" xfId="2898"/>
    <cellStyle name="Normal 6 8 3 3 3" xfId="1147"/>
    <cellStyle name="Normal 6 8 3 3 3 2" xfId="2149"/>
    <cellStyle name="Normal 6 8 3 3 3 2 2" xfId="4153"/>
    <cellStyle name="Normal 6 8 3 3 3 3" xfId="3151"/>
    <cellStyle name="Normal 6 8 3 3 4" xfId="1648"/>
    <cellStyle name="Normal 6 8 3 3 4 2" xfId="3652"/>
    <cellStyle name="Normal 6 8 3 3 5" xfId="2650"/>
    <cellStyle name="Normal 6 8 3 4" xfId="767"/>
    <cellStyle name="Normal 6 8 3 4 2" xfId="1271"/>
    <cellStyle name="Normal 6 8 3 4 2 2" xfId="2273"/>
    <cellStyle name="Normal 6 8 3 4 2 2 2" xfId="4277"/>
    <cellStyle name="Normal 6 8 3 4 2 3" xfId="3275"/>
    <cellStyle name="Normal 6 8 3 4 3" xfId="1772"/>
    <cellStyle name="Normal 6 8 3 4 3 2" xfId="3776"/>
    <cellStyle name="Normal 6 8 3 4 4" xfId="2774"/>
    <cellStyle name="Normal 6 8 3 5" xfId="1023"/>
    <cellStyle name="Normal 6 8 3 5 2" xfId="2025"/>
    <cellStyle name="Normal 6 8 3 5 2 2" xfId="4029"/>
    <cellStyle name="Normal 6 8 3 5 3" xfId="3027"/>
    <cellStyle name="Normal 6 8 3 6" xfId="1524"/>
    <cellStyle name="Normal 6 8 3 6 2" xfId="3528"/>
    <cellStyle name="Normal 6 8 3 7" xfId="2526"/>
    <cellStyle name="Normal 6 8 4" xfId="576"/>
    <cellStyle name="Normal 6 8 4 2" xfId="700"/>
    <cellStyle name="Normal 6 8 4 2 2" xfId="948"/>
    <cellStyle name="Normal 6 8 4 2 2 2" xfId="1452"/>
    <cellStyle name="Normal 6 8 4 2 2 2 2" xfId="2454"/>
    <cellStyle name="Normal 6 8 4 2 2 2 2 2" xfId="4458"/>
    <cellStyle name="Normal 6 8 4 2 2 2 3" xfId="3456"/>
    <cellStyle name="Normal 6 8 4 2 2 3" xfId="1953"/>
    <cellStyle name="Normal 6 8 4 2 2 3 2" xfId="3957"/>
    <cellStyle name="Normal 6 8 4 2 2 4" xfId="2955"/>
    <cellStyle name="Normal 6 8 4 2 3" xfId="1204"/>
    <cellStyle name="Normal 6 8 4 2 3 2" xfId="2206"/>
    <cellStyle name="Normal 6 8 4 2 3 2 2" xfId="4210"/>
    <cellStyle name="Normal 6 8 4 2 3 3" xfId="3208"/>
    <cellStyle name="Normal 6 8 4 2 4" xfId="1705"/>
    <cellStyle name="Normal 6 8 4 2 4 2" xfId="3709"/>
    <cellStyle name="Normal 6 8 4 2 5" xfId="2707"/>
    <cellStyle name="Normal 6 8 4 3" xfId="824"/>
    <cellStyle name="Normal 6 8 4 3 2" xfId="1328"/>
    <cellStyle name="Normal 6 8 4 3 2 2" xfId="2330"/>
    <cellStyle name="Normal 6 8 4 3 2 2 2" xfId="4334"/>
    <cellStyle name="Normal 6 8 4 3 2 3" xfId="3332"/>
    <cellStyle name="Normal 6 8 4 3 3" xfId="1829"/>
    <cellStyle name="Normal 6 8 4 3 3 2" xfId="3833"/>
    <cellStyle name="Normal 6 8 4 3 4" xfId="2831"/>
    <cellStyle name="Normal 6 8 4 4" xfId="1080"/>
    <cellStyle name="Normal 6 8 4 4 2" xfId="2082"/>
    <cellStyle name="Normal 6 8 4 4 2 2" xfId="4086"/>
    <cellStyle name="Normal 6 8 4 4 3" xfId="3084"/>
    <cellStyle name="Normal 6 8 4 5" xfId="1581"/>
    <cellStyle name="Normal 6 8 4 5 2" xfId="3585"/>
    <cellStyle name="Normal 6 8 4 6" xfId="2583"/>
    <cellStyle name="Normal 6 8 5" xfId="601"/>
    <cellStyle name="Normal 6 8 5 2" xfId="849"/>
    <cellStyle name="Normal 6 8 5 2 2" xfId="1353"/>
    <cellStyle name="Normal 6 8 5 2 2 2" xfId="2355"/>
    <cellStyle name="Normal 6 8 5 2 2 2 2" xfId="4359"/>
    <cellStyle name="Normal 6 8 5 2 2 3" xfId="3357"/>
    <cellStyle name="Normal 6 8 5 2 3" xfId="1854"/>
    <cellStyle name="Normal 6 8 5 2 3 2" xfId="3858"/>
    <cellStyle name="Normal 6 8 5 2 4" xfId="2856"/>
    <cellStyle name="Normal 6 8 5 3" xfId="1105"/>
    <cellStyle name="Normal 6 8 5 3 2" xfId="2107"/>
    <cellStyle name="Normal 6 8 5 3 2 2" xfId="4111"/>
    <cellStyle name="Normal 6 8 5 3 3" xfId="3109"/>
    <cellStyle name="Normal 6 8 5 4" xfId="1606"/>
    <cellStyle name="Normal 6 8 5 4 2" xfId="3610"/>
    <cellStyle name="Normal 6 8 5 5" xfId="2608"/>
    <cellStyle name="Normal 6 8 6" xfId="725"/>
    <cellStyle name="Normal 6 8 6 2" xfId="1229"/>
    <cellStyle name="Normal 6 8 6 2 2" xfId="2231"/>
    <cellStyle name="Normal 6 8 6 2 2 2" xfId="4235"/>
    <cellStyle name="Normal 6 8 6 2 3" xfId="3233"/>
    <cellStyle name="Normal 6 8 6 3" xfId="1730"/>
    <cellStyle name="Normal 6 8 6 3 2" xfId="3734"/>
    <cellStyle name="Normal 6 8 6 4" xfId="2732"/>
    <cellStyle name="Normal 6 8 7" xfId="981"/>
    <cellStyle name="Normal 6 8 7 2" xfId="1983"/>
    <cellStyle name="Normal 6 8 7 2 2" xfId="3987"/>
    <cellStyle name="Normal 6 8 7 3" xfId="2985"/>
    <cellStyle name="Normal 6 8 8" xfId="1482"/>
    <cellStyle name="Normal 6 8 8 2" xfId="3486"/>
    <cellStyle name="Normal 6 8 9" xfId="2484"/>
    <cellStyle name="Normal 6 9" xfId="483"/>
    <cellStyle name="Normal 7" xfId="321"/>
    <cellStyle name="Normal 8" xfId="322"/>
    <cellStyle name="Normal 9" xfId="323"/>
    <cellStyle name="Note 10" xfId="324"/>
    <cellStyle name="Note 11" xfId="325"/>
    <cellStyle name="Note 2" xfId="326"/>
    <cellStyle name="Note 2 2" xfId="327"/>
    <cellStyle name="Note 2_Allocators" xfId="328"/>
    <cellStyle name="Note 3" xfId="329"/>
    <cellStyle name="Note 3 2" xfId="330"/>
    <cellStyle name="Note 3 3" xfId="331"/>
    <cellStyle name="Note 3_Allocators" xfId="332"/>
    <cellStyle name="Note 4" xfId="333"/>
    <cellStyle name="Note 4 2" xfId="334"/>
    <cellStyle name="Note 4_Allocators" xfId="335"/>
    <cellStyle name="Note 5" xfId="336"/>
    <cellStyle name="Note 6" xfId="337"/>
    <cellStyle name="Note 6 2" xfId="338"/>
    <cellStyle name="Note 6_Allocators" xfId="339"/>
    <cellStyle name="Note 7" xfId="340"/>
    <cellStyle name="Note 7 2" xfId="341"/>
    <cellStyle name="Note 8" xfId="342"/>
    <cellStyle name="Note 9" xfId="343"/>
    <cellStyle name="nPlosion" xfId="344"/>
    <cellStyle name="nvision" xfId="345"/>
    <cellStyle name="Output 2" xfId="346"/>
    <cellStyle name="Output 3" xfId="347"/>
    <cellStyle name="Output 4" xfId="348"/>
    <cellStyle name="Output 5" xfId="349"/>
    <cellStyle name="Output 6" xfId="350"/>
    <cellStyle name="Percent" xfId="2" builtinId="5"/>
    <cellStyle name="Percent 10" xfId="351"/>
    <cellStyle name="Percent 11" xfId="352"/>
    <cellStyle name="Percent 12" xfId="353"/>
    <cellStyle name="Percent 13" xfId="354"/>
    <cellStyle name="Percent 13 2" xfId="484"/>
    <cellStyle name="Percent 13 2 2" xfId="580"/>
    <cellStyle name="Percent 13 2 2 2" xfId="704"/>
    <cellStyle name="Percent 13 2 2 2 2" xfId="952"/>
    <cellStyle name="Percent 13 2 2 2 2 2" xfId="1456"/>
    <cellStyle name="Percent 13 2 2 2 2 2 2" xfId="2458"/>
    <cellStyle name="Percent 13 2 2 2 2 2 2 2" xfId="4462"/>
    <cellStyle name="Percent 13 2 2 2 2 2 3" xfId="3460"/>
    <cellStyle name="Percent 13 2 2 2 2 3" xfId="1957"/>
    <cellStyle name="Percent 13 2 2 2 2 3 2" xfId="3961"/>
    <cellStyle name="Percent 13 2 2 2 2 4" xfId="2959"/>
    <cellStyle name="Percent 13 2 2 2 3" xfId="1208"/>
    <cellStyle name="Percent 13 2 2 2 3 2" xfId="2210"/>
    <cellStyle name="Percent 13 2 2 2 3 2 2" xfId="4214"/>
    <cellStyle name="Percent 13 2 2 2 3 3" xfId="3212"/>
    <cellStyle name="Percent 13 2 2 2 4" xfId="1709"/>
    <cellStyle name="Percent 13 2 2 2 4 2" xfId="3713"/>
    <cellStyle name="Percent 13 2 2 2 5" xfId="2711"/>
    <cellStyle name="Percent 13 2 2 3" xfId="828"/>
    <cellStyle name="Percent 13 2 2 3 2" xfId="1332"/>
    <cellStyle name="Percent 13 2 2 3 2 2" xfId="2334"/>
    <cellStyle name="Percent 13 2 2 3 2 2 2" xfId="4338"/>
    <cellStyle name="Percent 13 2 2 3 2 3" xfId="3336"/>
    <cellStyle name="Percent 13 2 2 3 3" xfId="1833"/>
    <cellStyle name="Percent 13 2 2 3 3 2" xfId="3837"/>
    <cellStyle name="Percent 13 2 2 3 4" xfId="2835"/>
    <cellStyle name="Percent 13 2 2 4" xfId="1084"/>
    <cellStyle name="Percent 13 2 2 4 2" xfId="2086"/>
    <cellStyle name="Percent 13 2 2 4 2 2" xfId="4090"/>
    <cellStyle name="Percent 13 2 2 4 3" xfId="3088"/>
    <cellStyle name="Percent 13 2 2 5" xfId="1585"/>
    <cellStyle name="Percent 13 2 2 5 2" xfId="3589"/>
    <cellStyle name="Percent 13 2 2 6" xfId="2587"/>
    <cellStyle name="Percent 13 2 3" xfId="609"/>
    <cellStyle name="Percent 13 2 3 2" xfId="857"/>
    <cellStyle name="Percent 13 2 3 2 2" xfId="1361"/>
    <cellStyle name="Percent 13 2 3 2 2 2" xfId="2363"/>
    <cellStyle name="Percent 13 2 3 2 2 2 2" xfId="4367"/>
    <cellStyle name="Percent 13 2 3 2 2 3" xfId="3365"/>
    <cellStyle name="Percent 13 2 3 2 3" xfId="1862"/>
    <cellStyle name="Percent 13 2 3 2 3 2" xfId="3866"/>
    <cellStyle name="Percent 13 2 3 2 4" xfId="2864"/>
    <cellStyle name="Percent 13 2 3 3" xfId="1113"/>
    <cellStyle name="Percent 13 2 3 3 2" xfId="2115"/>
    <cellStyle name="Percent 13 2 3 3 2 2" xfId="4119"/>
    <cellStyle name="Percent 13 2 3 3 3" xfId="3117"/>
    <cellStyle name="Percent 13 2 3 4" xfId="1614"/>
    <cellStyle name="Percent 13 2 3 4 2" xfId="3618"/>
    <cellStyle name="Percent 13 2 3 5" xfId="2616"/>
    <cellStyle name="Percent 13 2 4" xfId="733"/>
    <cellStyle name="Percent 13 2 4 2" xfId="1237"/>
    <cellStyle name="Percent 13 2 4 2 2" xfId="2239"/>
    <cellStyle name="Percent 13 2 4 2 2 2" xfId="4243"/>
    <cellStyle name="Percent 13 2 4 2 3" xfId="3241"/>
    <cellStyle name="Percent 13 2 4 3" xfId="1738"/>
    <cellStyle name="Percent 13 2 4 3 2" xfId="3742"/>
    <cellStyle name="Percent 13 2 4 4" xfId="2740"/>
    <cellStyle name="Percent 13 2 5" xfId="989"/>
    <cellStyle name="Percent 13 2 5 2" xfId="1991"/>
    <cellStyle name="Percent 13 2 5 2 2" xfId="3995"/>
    <cellStyle name="Percent 13 2 5 3" xfId="2993"/>
    <cellStyle name="Percent 13 2 6" xfId="1490"/>
    <cellStyle name="Percent 13 2 6 2" xfId="3494"/>
    <cellStyle name="Percent 13 2 7" xfId="2492"/>
    <cellStyle name="Percent 13 3" xfId="505"/>
    <cellStyle name="Percent 13 3 2" xfId="581"/>
    <cellStyle name="Percent 13 3 2 2" xfId="705"/>
    <cellStyle name="Percent 13 3 2 2 2" xfId="953"/>
    <cellStyle name="Percent 13 3 2 2 2 2" xfId="1457"/>
    <cellStyle name="Percent 13 3 2 2 2 2 2" xfId="2459"/>
    <cellStyle name="Percent 13 3 2 2 2 2 2 2" xfId="4463"/>
    <cellStyle name="Percent 13 3 2 2 2 2 3" xfId="3461"/>
    <cellStyle name="Percent 13 3 2 2 2 3" xfId="1958"/>
    <cellStyle name="Percent 13 3 2 2 2 3 2" xfId="3962"/>
    <cellStyle name="Percent 13 3 2 2 2 4" xfId="2960"/>
    <cellStyle name="Percent 13 3 2 2 3" xfId="1209"/>
    <cellStyle name="Percent 13 3 2 2 3 2" xfId="2211"/>
    <cellStyle name="Percent 13 3 2 2 3 2 2" xfId="4215"/>
    <cellStyle name="Percent 13 3 2 2 3 3" xfId="3213"/>
    <cellStyle name="Percent 13 3 2 2 4" xfId="1710"/>
    <cellStyle name="Percent 13 3 2 2 4 2" xfId="3714"/>
    <cellStyle name="Percent 13 3 2 2 5" xfId="2712"/>
    <cellStyle name="Percent 13 3 2 3" xfId="829"/>
    <cellStyle name="Percent 13 3 2 3 2" xfId="1333"/>
    <cellStyle name="Percent 13 3 2 3 2 2" xfId="2335"/>
    <cellStyle name="Percent 13 3 2 3 2 2 2" xfId="4339"/>
    <cellStyle name="Percent 13 3 2 3 2 3" xfId="3337"/>
    <cellStyle name="Percent 13 3 2 3 3" xfId="1834"/>
    <cellStyle name="Percent 13 3 2 3 3 2" xfId="3838"/>
    <cellStyle name="Percent 13 3 2 3 4" xfId="2836"/>
    <cellStyle name="Percent 13 3 2 4" xfId="1085"/>
    <cellStyle name="Percent 13 3 2 4 2" xfId="2087"/>
    <cellStyle name="Percent 13 3 2 4 2 2" xfId="4091"/>
    <cellStyle name="Percent 13 3 2 4 3" xfId="3089"/>
    <cellStyle name="Percent 13 3 2 5" xfId="1586"/>
    <cellStyle name="Percent 13 3 2 5 2" xfId="3590"/>
    <cellStyle name="Percent 13 3 2 6" xfId="2588"/>
    <cellStyle name="Percent 13 3 3" xfId="629"/>
    <cellStyle name="Percent 13 3 3 2" xfId="877"/>
    <cellStyle name="Percent 13 3 3 2 2" xfId="1381"/>
    <cellStyle name="Percent 13 3 3 2 2 2" xfId="2383"/>
    <cellStyle name="Percent 13 3 3 2 2 2 2" xfId="4387"/>
    <cellStyle name="Percent 13 3 3 2 2 3" xfId="3385"/>
    <cellStyle name="Percent 13 3 3 2 3" xfId="1882"/>
    <cellStyle name="Percent 13 3 3 2 3 2" xfId="3886"/>
    <cellStyle name="Percent 13 3 3 2 4" xfId="2884"/>
    <cellStyle name="Percent 13 3 3 3" xfId="1133"/>
    <cellStyle name="Percent 13 3 3 3 2" xfId="2135"/>
    <cellStyle name="Percent 13 3 3 3 2 2" xfId="4139"/>
    <cellStyle name="Percent 13 3 3 3 3" xfId="3137"/>
    <cellStyle name="Percent 13 3 3 4" xfId="1634"/>
    <cellStyle name="Percent 13 3 3 4 2" xfId="3638"/>
    <cellStyle name="Percent 13 3 3 5" xfId="2636"/>
    <cellStyle name="Percent 13 3 4" xfId="753"/>
    <cellStyle name="Percent 13 3 4 2" xfId="1257"/>
    <cellStyle name="Percent 13 3 4 2 2" xfId="2259"/>
    <cellStyle name="Percent 13 3 4 2 2 2" xfId="4263"/>
    <cellStyle name="Percent 13 3 4 2 3" xfId="3261"/>
    <cellStyle name="Percent 13 3 4 3" xfId="1758"/>
    <cellStyle name="Percent 13 3 4 3 2" xfId="3762"/>
    <cellStyle name="Percent 13 3 4 4" xfId="2760"/>
    <cellStyle name="Percent 13 3 5" xfId="1009"/>
    <cellStyle name="Percent 13 3 5 2" xfId="2011"/>
    <cellStyle name="Percent 13 3 5 2 2" xfId="4015"/>
    <cellStyle name="Percent 13 3 5 3" xfId="3013"/>
    <cellStyle name="Percent 13 3 6" xfId="1510"/>
    <cellStyle name="Percent 13 3 6 2" xfId="3514"/>
    <cellStyle name="Percent 13 3 7" xfId="2512"/>
    <cellStyle name="Percent 13 4" xfId="579"/>
    <cellStyle name="Percent 13 4 2" xfId="703"/>
    <cellStyle name="Percent 13 4 2 2" xfId="951"/>
    <cellStyle name="Percent 13 4 2 2 2" xfId="1455"/>
    <cellStyle name="Percent 13 4 2 2 2 2" xfId="2457"/>
    <cellStyle name="Percent 13 4 2 2 2 2 2" xfId="4461"/>
    <cellStyle name="Percent 13 4 2 2 2 3" xfId="3459"/>
    <cellStyle name="Percent 13 4 2 2 3" xfId="1956"/>
    <cellStyle name="Percent 13 4 2 2 3 2" xfId="3960"/>
    <cellStyle name="Percent 13 4 2 2 4" xfId="2958"/>
    <cellStyle name="Percent 13 4 2 3" xfId="1207"/>
    <cellStyle name="Percent 13 4 2 3 2" xfId="2209"/>
    <cellStyle name="Percent 13 4 2 3 2 2" xfId="4213"/>
    <cellStyle name="Percent 13 4 2 3 3" xfId="3211"/>
    <cellStyle name="Percent 13 4 2 4" xfId="1708"/>
    <cellStyle name="Percent 13 4 2 4 2" xfId="3712"/>
    <cellStyle name="Percent 13 4 2 5" xfId="2710"/>
    <cellStyle name="Percent 13 4 3" xfId="827"/>
    <cellStyle name="Percent 13 4 3 2" xfId="1331"/>
    <cellStyle name="Percent 13 4 3 2 2" xfId="2333"/>
    <cellStyle name="Percent 13 4 3 2 2 2" xfId="4337"/>
    <cellStyle name="Percent 13 4 3 2 3" xfId="3335"/>
    <cellStyle name="Percent 13 4 3 3" xfId="1832"/>
    <cellStyle name="Percent 13 4 3 3 2" xfId="3836"/>
    <cellStyle name="Percent 13 4 3 4" xfId="2834"/>
    <cellStyle name="Percent 13 4 4" xfId="1083"/>
    <cellStyle name="Percent 13 4 4 2" xfId="2085"/>
    <cellStyle name="Percent 13 4 4 2 2" xfId="4089"/>
    <cellStyle name="Percent 13 4 4 3" xfId="3087"/>
    <cellStyle name="Percent 13 4 5" xfId="1584"/>
    <cellStyle name="Percent 13 4 5 2" xfId="3588"/>
    <cellStyle name="Percent 13 4 6" xfId="2586"/>
    <cellStyle name="Percent 13 5" xfId="587"/>
    <cellStyle name="Percent 13 5 2" xfId="835"/>
    <cellStyle name="Percent 13 5 2 2" xfId="1339"/>
    <cellStyle name="Percent 13 5 2 2 2" xfId="2341"/>
    <cellStyle name="Percent 13 5 2 2 2 2" xfId="4345"/>
    <cellStyle name="Percent 13 5 2 2 3" xfId="3343"/>
    <cellStyle name="Percent 13 5 2 3" xfId="1840"/>
    <cellStyle name="Percent 13 5 2 3 2" xfId="3844"/>
    <cellStyle name="Percent 13 5 2 4" xfId="2842"/>
    <cellStyle name="Percent 13 5 3" xfId="1091"/>
    <cellStyle name="Percent 13 5 3 2" xfId="2093"/>
    <cellStyle name="Percent 13 5 3 2 2" xfId="4097"/>
    <cellStyle name="Percent 13 5 3 3" xfId="3095"/>
    <cellStyle name="Percent 13 5 4" xfId="1592"/>
    <cellStyle name="Percent 13 5 4 2" xfId="3596"/>
    <cellStyle name="Percent 13 5 5" xfId="2594"/>
    <cellStyle name="Percent 13 6" xfId="711"/>
    <cellStyle name="Percent 13 6 2" xfId="1215"/>
    <cellStyle name="Percent 13 6 2 2" xfId="2217"/>
    <cellStyle name="Percent 13 6 2 2 2" xfId="4221"/>
    <cellStyle name="Percent 13 6 2 3" xfId="3219"/>
    <cellStyle name="Percent 13 6 3" xfId="1716"/>
    <cellStyle name="Percent 13 6 3 2" xfId="3720"/>
    <cellStyle name="Percent 13 6 4" xfId="2718"/>
    <cellStyle name="Percent 13 7" xfId="967"/>
    <cellStyle name="Percent 13 7 2" xfId="1969"/>
    <cellStyle name="Percent 13 7 2 2" xfId="3973"/>
    <cellStyle name="Percent 13 7 3" xfId="2971"/>
    <cellStyle name="Percent 13 8" xfId="1468"/>
    <cellStyle name="Percent 13 8 2" xfId="3472"/>
    <cellStyle name="Percent 13 9" xfId="2470"/>
    <cellStyle name="Percent 2" xfId="355"/>
    <cellStyle name="Percent 2 2" xfId="356"/>
    <cellStyle name="Percent 3" xfId="357"/>
    <cellStyle name="Percent 3 2" xfId="358"/>
    <cellStyle name="Percent 3 3" xfId="359"/>
    <cellStyle name="Percent 3 4" xfId="455"/>
    <cellStyle name="Percent 3 5" xfId="485"/>
    <cellStyle name="Percent 4" xfId="360"/>
    <cellStyle name="Percent 4 2" xfId="361"/>
    <cellStyle name="Percent 4 3" xfId="362"/>
    <cellStyle name="Percent 4 4" xfId="363"/>
    <cellStyle name="Percent 5" xfId="364"/>
    <cellStyle name="Percent 5 2" xfId="365"/>
    <cellStyle name="Percent 6" xfId="366"/>
    <cellStyle name="Percent 6 2" xfId="367"/>
    <cellStyle name="Percent 7" xfId="368"/>
    <cellStyle name="Percent 8" xfId="369"/>
    <cellStyle name="Percent 9" xfId="370"/>
    <cellStyle name="PSChar" xfId="371"/>
    <cellStyle name="PSChar 2" xfId="372"/>
    <cellStyle name="PSChar 2 2" xfId="373"/>
    <cellStyle name="PSChar 2 3" xfId="374"/>
    <cellStyle name="PSChar 3" xfId="375"/>
    <cellStyle name="PSChar 3 2" xfId="376"/>
    <cellStyle name="PSChar 4" xfId="377"/>
    <cellStyle name="PSChar 5" xfId="378"/>
    <cellStyle name="PSChar 6" xfId="379"/>
    <cellStyle name="PSDate" xfId="380"/>
    <cellStyle name="PSDate 2" xfId="381"/>
    <cellStyle name="PSDate 2 2" xfId="382"/>
    <cellStyle name="PSDate 2 3" xfId="383"/>
    <cellStyle name="PSDate 3" xfId="384"/>
    <cellStyle name="PSDate 3 2" xfId="385"/>
    <cellStyle name="PSDate 4" xfId="386"/>
    <cellStyle name="PSDate 5" xfId="387"/>
    <cellStyle name="PSDate 6" xfId="388"/>
    <cellStyle name="PSDec" xfId="389"/>
    <cellStyle name="PSDec 2" xfId="390"/>
    <cellStyle name="PSDec 2 2" xfId="391"/>
    <cellStyle name="PSDec 2 3" xfId="392"/>
    <cellStyle name="PSDec 3" xfId="393"/>
    <cellStyle name="PSDec 3 2" xfId="394"/>
    <cellStyle name="PSDec 4" xfId="395"/>
    <cellStyle name="PSDec 5" xfId="396"/>
    <cellStyle name="PSDec 6" xfId="397"/>
    <cellStyle name="PSHeading" xfId="398"/>
    <cellStyle name="PSHeading 10" xfId="399"/>
    <cellStyle name="PSHeading 11" xfId="400"/>
    <cellStyle name="PSHeading 2" xfId="401"/>
    <cellStyle name="PSHeading 2 2" xfId="402"/>
    <cellStyle name="PSHeading 2 3" xfId="403"/>
    <cellStyle name="PSHeading 2_108 Summary" xfId="404"/>
    <cellStyle name="PSHeading 3" xfId="405"/>
    <cellStyle name="PSHeading 3 2" xfId="406"/>
    <cellStyle name="PSHeading 3_108 Summary" xfId="407"/>
    <cellStyle name="PSHeading 4" xfId="408"/>
    <cellStyle name="PSHeading 5" xfId="409"/>
    <cellStyle name="PSHeading 6" xfId="410"/>
    <cellStyle name="PSHeading 7" xfId="411"/>
    <cellStyle name="PSHeading 8" xfId="412"/>
    <cellStyle name="PSHeading 9" xfId="413"/>
    <cellStyle name="PSHeading_101 check" xfId="414"/>
    <cellStyle name="PSInt" xfId="415"/>
    <cellStyle name="PSInt 2" xfId="416"/>
    <cellStyle name="PSInt 2 2" xfId="417"/>
    <cellStyle name="PSInt 2 3" xfId="418"/>
    <cellStyle name="PSInt 3" xfId="419"/>
    <cellStyle name="PSInt 3 2" xfId="420"/>
    <cellStyle name="PSInt 4" xfId="421"/>
    <cellStyle name="PSInt 5" xfId="422"/>
    <cellStyle name="PSInt 6" xfId="423"/>
    <cellStyle name="PSSpacer" xfId="424"/>
    <cellStyle name="PSSpacer 2" xfId="425"/>
    <cellStyle name="PSSpacer 2 2" xfId="426"/>
    <cellStyle name="PSSpacer 2 3" xfId="427"/>
    <cellStyle name="PSSpacer 3" xfId="428"/>
    <cellStyle name="PSSpacer 3 2" xfId="429"/>
    <cellStyle name="PSSpacer 4" xfId="430"/>
    <cellStyle name="PSSpacer 5" xfId="431"/>
    <cellStyle name="PSSpacer 6" xfId="432"/>
    <cellStyle name="Title 2" xfId="433"/>
    <cellStyle name="Title 3" xfId="434"/>
    <cellStyle name="Title 4" xfId="435"/>
    <cellStyle name="Title 5" xfId="436"/>
    <cellStyle name="Total 2" xfId="437"/>
    <cellStyle name="Total 3" xfId="438"/>
    <cellStyle name="Total 4" xfId="439"/>
    <cellStyle name="Total 5" xfId="440"/>
    <cellStyle name="Total 6" xfId="441"/>
    <cellStyle name="Total 7" xfId="442"/>
    <cellStyle name="Total 8" xfId="443"/>
    <cellStyle name="Warning Text 2" xfId="444"/>
    <cellStyle name="Warning Text 3" xfId="445"/>
    <cellStyle name="Warning Text 4" xfId="446"/>
    <cellStyle name="Warning Text 5" xfId="447"/>
    <cellStyle name="Warning Text 6" xfId="448"/>
  </cellStyles>
  <dxfs count="0"/>
  <tableStyles count="0" defaultTableStyle="TableStyleMedium2" defaultPivotStyle="PivotStyleLight16"/>
  <colors>
    <mruColors>
      <color rgb="FF66FFFF"/>
      <color rgb="FFFF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%20No%202009%20-%20Potential%20Rate%20Case\Section%20V%20-%20Schedule%2010%20-%20Tax%20Workpapers\KPCo%20Rate%20Case%20-%20Sch%2010%20-%20Internal%20Version%20-%2009-30-2009%20-%20Tom%20Sy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otes7FB054\Remove%20Big%20Sandy%20COS%20from%20Base%20C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 IV - Taxes"/>
      <sheetName val="Schedule 10"/>
      <sheetName val="Workpaper S-10, Page 1"/>
      <sheetName val="Workpaper S-10, Page 2"/>
      <sheetName val="Workpaper S-10, Page 3"/>
      <sheetName val="Table"/>
      <sheetName val="Rpt 51000 and 51020 Summary"/>
      <sheetName val="Rpt 51020_ 2008-12-31 YTD"/>
      <sheetName val="Rpt 51020_ 2008-09-30 YTD"/>
      <sheetName val="Rpt 51020_ 2009-09-30 YTD"/>
      <sheetName val="Rpt 51020_ 2008 Oct Adj"/>
      <sheetName val="Rpt 51020_ 2008 Nov Adj"/>
      <sheetName val="Workpaper S-10 - Bob Russell"/>
      <sheetName val="Schedule 5 - Bob Russe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G6" t="str">
            <v>EAF</v>
          </cell>
          <cell r="H6">
            <v>0.98699999999999999</v>
          </cell>
        </row>
        <row r="7">
          <cell r="G7" t="str">
            <v>GP-TOT</v>
          </cell>
          <cell r="H7">
            <v>0.99099999999999999</v>
          </cell>
        </row>
        <row r="8">
          <cell r="G8" t="str">
            <v>GP-TRANS</v>
          </cell>
          <cell r="H8">
            <v>0.98599999999999999</v>
          </cell>
        </row>
        <row r="9">
          <cell r="G9" t="str">
            <v>OML</v>
          </cell>
          <cell r="H9">
            <v>0.99399999999999999</v>
          </cell>
        </row>
        <row r="10">
          <cell r="G10" t="str">
            <v>OP-REV</v>
          </cell>
          <cell r="H10">
            <v>0.98699999999999999</v>
          </cell>
        </row>
        <row r="11">
          <cell r="G11" t="str">
            <v>PDAF</v>
          </cell>
          <cell r="H11">
            <v>0.98599999999999999</v>
          </cell>
        </row>
        <row r="12">
          <cell r="G12" t="str">
            <v>WAITING</v>
          </cell>
          <cell r="H12">
            <v>1</v>
          </cell>
        </row>
        <row r="13">
          <cell r="G13" t="str">
            <v>SPECIF.</v>
          </cell>
          <cell r="H1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ove BS OM Depr WXX"/>
      <sheetName val="Amortize BS OM Depr"/>
      <sheetName val="Big Sandy Summary"/>
      <sheetName val="Amortization"/>
      <sheetName val="WACC"/>
      <sheetName val="Pivot"/>
      <sheetName val="Big Sandy Detail"/>
      <sheetName val="Modification History"/>
      <sheetName val="Alloc BS Normalization"/>
      <sheetName val="Payroll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="90" zoomScaleNormal="90" workbookViewId="0">
      <selection activeCell="B40" sqref="B40"/>
    </sheetView>
  </sheetViews>
  <sheetFormatPr defaultColWidth="9.140625" defaultRowHeight="12.75"/>
  <cols>
    <col min="1" max="1" width="5.7109375" style="95" customWidth="1"/>
    <col min="2" max="2" width="54.42578125" style="95" customWidth="1"/>
    <col min="3" max="3" width="28.7109375" style="95" customWidth="1"/>
    <col min="4" max="4" width="19.7109375" style="95" customWidth="1"/>
    <col min="5" max="5" width="0.7109375" style="95" customWidth="1"/>
    <col min="6" max="6" width="27.85546875" style="95" customWidth="1"/>
    <col min="7" max="7" width="9.140625" style="95"/>
    <col min="8" max="8" width="12.7109375" style="95" hidden="1" customWidth="1"/>
    <col min="9" max="9" width="6.5703125" style="95" hidden="1" customWidth="1"/>
    <col min="10" max="11" width="0" style="95" hidden="1" customWidth="1"/>
    <col min="12" max="16384" width="9.140625" style="95"/>
  </cols>
  <sheetData>
    <row r="1" spans="1:13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B2" s="414" t="s">
        <v>403</v>
      </c>
      <c r="C2" s="414"/>
      <c r="D2" s="414"/>
      <c r="E2" s="414"/>
      <c r="F2" s="415"/>
      <c r="G2" s="40"/>
      <c r="H2" s="40"/>
      <c r="I2" s="40"/>
      <c r="J2" s="40"/>
      <c r="K2" s="40"/>
      <c r="L2" s="40"/>
      <c r="M2" s="40"/>
    </row>
    <row r="3" spans="1:13">
      <c r="B3" s="414" t="s">
        <v>989</v>
      </c>
      <c r="C3" s="414"/>
      <c r="D3" s="414"/>
      <c r="E3" s="414"/>
      <c r="F3" s="414"/>
      <c r="G3" s="40"/>
      <c r="H3" s="40"/>
      <c r="I3" s="40"/>
      <c r="J3" s="40"/>
      <c r="K3" s="40"/>
      <c r="L3" s="40"/>
      <c r="M3" s="40"/>
    </row>
    <row r="4" spans="1:13" ht="13.15" customHeight="1">
      <c r="B4" s="414" t="s">
        <v>990</v>
      </c>
      <c r="C4" s="416"/>
      <c r="D4" s="416"/>
      <c r="E4" s="416"/>
      <c r="F4" s="416"/>
      <c r="G4" s="40"/>
      <c r="H4" s="40"/>
      <c r="I4" s="40"/>
      <c r="J4" s="40"/>
      <c r="K4" s="40"/>
      <c r="L4" s="40"/>
      <c r="M4" s="40"/>
    </row>
    <row r="5" spans="1:13">
      <c r="B5" s="375"/>
      <c r="C5" s="375"/>
      <c r="D5" s="375"/>
      <c r="E5" s="375"/>
      <c r="F5" s="375"/>
    </row>
    <row r="7" spans="1:13" ht="25.5">
      <c r="A7" s="376" t="s">
        <v>991</v>
      </c>
      <c r="C7" s="234" t="s">
        <v>992</v>
      </c>
      <c r="D7" s="234" t="s">
        <v>665</v>
      </c>
      <c r="E7" s="234"/>
      <c r="F7" s="377" t="s">
        <v>993</v>
      </c>
    </row>
    <row r="8" spans="1:13">
      <c r="A8" s="378" t="s">
        <v>1015</v>
      </c>
      <c r="B8" s="3" t="s">
        <v>1016</v>
      </c>
      <c r="C8" s="89" t="s">
        <v>1020</v>
      </c>
      <c r="D8" s="379">
        <f>'Sch 4'!C7</f>
        <v>554150678.60000002</v>
      </c>
      <c r="E8" s="380"/>
      <c r="F8" s="89"/>
    </row>
    <row r="9" spans="1:13">
      <c r="A9" s="378" t="s">
        <v>1017</v>
      </c>
      <c r="B9" s="3" t="s">
        <v>1018</v>
      </c>
      <c r="C9" s="89"/>
      <c r="D9" s="381">
        <v>249701</v>
      </c>
      <c r="E9" s="380"/>
      <c r="F9" s="89"/>
    </row>
    <row r="10" spans="1:13">
      <c r="A10" s="378" t="s">
        <v>12</v>
      </c>
      <c r="B10" s="3" t="s">
        <v>1019</v>
      </c>
      <c r="C10" s="89"/>
      <c r="D10" s="379">
        <f>D8-D9</f>
        <v>553900977.60000002</v>
      </c>
      <c r="E10" s="380"/>
      <c r="F10" s="89"/>
      <c r="G10" s="89" t="s">
        <v>459</v>
      </c>
    </row>
    <row r="11" spans="1:13">
      <c r="A11" s="382"/>
      <c r="D11" s="380"/>
      <c r="E11" s="380"/>
    </row>
    <row r="12" spans="1:13">
      <c r="A12" s="378" t="s">
        <v>13</v>
      </c>
      <c r="B12" s="3" t="s">
        <v>994</v>
      </c>
      <c r="C12" s="89" t="s">
        <v>995</v>
      </c>
      <c r="D12" s="380">
        <f>'Sch 1'!I47</f>
        <v>31780734</v>
      </c>
      <c r="E12" s="380"/>
      <c r="F12" s="383">
        <f>ROUND(D12/D10,4)</f>
        <v>5.74E-2</v>
      </c>
    </row>
    <row r="13" spans="1:13">
      <c r="A13" s="382"/>
      <c r="D13" s="380"/>
      <c r="E13" s="380"/>
      <c r="F13" s="384"/>
      <c r="H13" s="385"/>
      <c r="I13" s="386"/>
    </row>
    <row r="14" spans="1:13">
      <c r="A14" s="382">
        <f>A12-1</f>
        <v>-3</v>
      </c>
      <c r="B14" s="3" t="s">
        <v>996</v>
      </c>
      <c r="C14" s="89" t="s">
        <v>997</v>
      </c>
      <c r="D14" s="380">
        <v>284891</v>
      </c>
      <c r="E14" s="380"/>
      <c r="F14" s="383">
        <f>ROUND((D12+D14)/D10,4)</f>
        <v>5.79E-2</v>
      </c>
      <c r="H14" s="385"/>
      <c r="I14" s="386"/>
    </row>
    <row r="15" spans="1:13">
      <c r="A15" s="382"/>
      <c r="B15" s="3"/>
      <c r="C15" s="3"/>
      <c r="D15" s="211"/>
      <c r="E15" s="211"/>
      <c r="F15" s="383"/>
      <c r="H15" s="385"/>
      <c r="I15" s="386"/>
    </row>
    <row r="16" spans="1:13">
      <c r="A16" s="378" t="s">
        <v>988</v>
      </c>
      <c r="B16" s="3" t="s">
        <v>998</v>
      </c>
      <c r="C16" s="89"/>
      <c r="D16" s="380">
        <v>3903056</v>
      </c>
      <c r="E16" s="380"/>
      <c r="F16" s="383">
        <f>ROUND((D12+D14+D16)/D10,4)</f>
        <v>6.4899999999999999E-2</v>
      </c>
      <c r="H16" s="88"/>
      <c r="I16" s="386"/>
    </row>
    <row r="17" spans="1:9">
      <c r="A17" s="382"/>
      <c r="D17" s="387"/>
      <c r="E17" s="387"/>
      <c r="F17" s="384"/>
      <c r="H17" s="388"/>
      <c r="I17" s="386"/>
    </row>
    <row r="18" spans="1:9" ht="13.5" thickBot="1">
      <c r="A18" s="382">
        <f>A16-1</f>
        <v>-5</v>
      </c>
      <c r="B18" s="3" t="s">
        <v>999</v>
      </c>
      <c r="D18" s="389">
        <f>D12+D14+D16</f>
        <v>35968681</v>
      </c>
      <c r="E18" s="379"/>
      <c r="F18" s="390" t="s">
        <v>459</v>
      </c>
      <c r="H18" s="88"/>
      <c r="I18" s="386"/>
    </row>
    <row r="19" spans="1:9" ht="13.5" thickTop="1">
      <c r="A19" s="382"/>
      <c r="D19" s="387"/>
      <c r="E19" s="387"/>
      <c r="F19" s="384"/>
      <c r="H19" s="388"/>
      <c r="I19" s="386"/>
    </row>
    <row r="20" spans="1:9">
      <c r="D20" s="400"/>
      <c r="E20" s="391"/>
      <c r="F20" s="384"/>
      <c r="H20" s="388"/>
      <c r="I20" s="386"/>
    </row>
    <row r="21" spans="1:9">
      <c r="D21" s="379"/>
      <c r="E21" s="391"/>
      <c r="F21" s="407"/>
      <c r="H21" s="88"/>
      <c r="I21" s="386"/>
    </row>
    <row r="22" spans="1:9">
      <c r="D22" s="391"/>
      <c r="E22" s="391"/>
      <c r="F22" s="384"/>
    </row>
    <row r="23" spans="1:9">
      <c r="D23" s="385"/>
      <c r="E23" s="385"/>
      <c r="F23" s="384"/>
    </row>
    <row r="24" spans="1:9">
      <c r="D24" s="385">
        <v>60397438</v>
      </c>
      <c r="E24" s="385"/>
      <c r="F24" s="384"/>
    </row>
    <row r="25" spans="1:9">
      <c r="D25" s="385">
        <f>D24-D12</f>
        <v>28616704</v>
      </c>
      <c r="E25" s="385"/>
    </row>
    <row r="26" spans="1:9">
      <c r="D26" s="385"/>
      <c r="E26" s="385"/>
    </row>
    <row r="27" spans="1:9">
      <c r="D27" s="392"/>
      <c r="E27" s="392"/>
    </row>
    <row r="28" spans="1:9">
      <c r="D28" s="1"/>
      <c r="E28" s="1"/>
    </row>
    <row r="29" spans="1:9">
      <c r="D29" s="1"/>
      <c r="E29" s="1"/>
    </row>
    <row r="30" spans="1:9" ht="13.15" customHeight="1">
      <c r="B30" s="89" t="s">
        <v>48</v>
      </c>
      <c r="D30" s="393"/>
      <c r="E30" s="393"/>
    </row>
    <row r="31" spans="1:9" ht="13.15" customHeight="1">
      <c r="D31" s="290"/>
      <c r="E31" s="290"/>
    </row>
    <row r="32" spans="1:9" ht="13.15" customHeight="1">
      <c r="D32" s="121"/>
      <c r="E32" s="121"/>
    </row>
    <row r="33" spans="4:6" ht="13.15" customHeight="1">
      <c r="D33" s="290"/>
      <c r="E33" s="290"/>
    </row>
    <row r="34" spans="4:6" ht="13.15" customHeight="1">
      <c r="D34" s="290"/>
      <c r="E34" s="290"/>
    </row>
    <row r="35" spans="4:6" ht="13.15" customHeight="1">
      <c r="D35" s="290"/>
      <c r="E35" s="290"/>
    </row>
    <row r="36" spans="4:6">
      <c r="D36" s="121"/>
      <c r="E36" s="121"/>
    </row>
    <row r="42" spans="4:6">
      <c r="F42" s="95" t="s">
        <v>459</v>
      </c>
    </row>
  </sheetData>
  <mergeCells count="3">
    <mergeCell ref="B2:F2"/>
    <mergeCell ref="B3:F3"/>
    <mergeCell ref="B4:F4"/>
  </mergeCells>
  <pageMargins left="0.7" right="0.7" top="0.75" bottom="0.75" header="0.3" footer="0.3"/>
  <pageSetup scale="67" orientation="portrait" r:id="rId1"/>
  <headerFooter>
    <oddHeader>&amp;RSECTION V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zoomScaleNormal="100" workbookViewId="0">
      <pane ySplit="8" topLeftCell="A9" activePane="bottomLeft" state="frozen"/>
      <selection activeCell="L31" sqref="L31"/>
      <selection pane="bottomLeft" activeCell="H27" sqref="H27"/>
    </sheetView>
  </sheetViews>
  <sheetFormatPr defaultColWidth="9.140625" defaultRowHeight="12.75"/>
  <cols>
    <col min="1" max="1" width="5" style="95" bestFit="1" customWidth="1"/>
    <col min="2" max="2" width="3.7109375" style="95" customWidth="1"/>
    <col min="3" max="3" width="43.5703125" style="41" bestFit="1" customWidth="1"/>
    <col min="4" max="4" width="3.7109375" style="41" customWidth="1"/>
    <col min="5" max="5" width="13.7109375" style="41" bestFit="1" customWidth="1"/>
    <col min="6" max="6" width="3.7109375" style="41" customWidth="1"/>
    <col min="7" max="7" width="13.140625" style="41" bestFit="1" customWidth="1"/>
    <col min="8" max="8" width="3.7109375" style="95" customWidth="1"/>
    <col min="9" max="9" width="13.7109375" style="322" bestFit="1" customWidth="1"/>
    <col min="10" max="10" width="3.7109375" style="95" customWidth="1"/>
    <col min="11" max="16384" width="9.140625" style="95"/>
  </cols>
  <sheetData>
    <row r="1" spans="1:9">
      <c r="C1" s="423" t="s">
        <v>334</v>
      </c>
      <c r="D1" s="423"/>
      <c r="E1" s="423"/>
      <c r="F1" s="423"/>
      <c r="G1" s="423"/>
      <c r="I1" s="102" t="s">
        <v>562</v>
      </c>
    </row>
    <row r="2" spans="1:9">
      <c r="C2" s="423" t="s">
        <v>1011</v>
      </c>
      <c r="D2" s="423"/>
      <c r="E2" s="423"/>
      <c r="F2" s="423"/>
      <c r="G2" s="423"/>
      <c r="I2" s="102" t="s">
        <v>693</v>
      </c>
    </row>
    <row r="3" spans="1:9">
      <c r="C3" s="423" t="s">
        <v>1012</v>
      </c>
      <c r="D3" s="423"/>
      <c r="E3" s="423"/>
      <c r="F3" s="423"/>
      <c r="G3" s="423"/>
      <c r="I3" s="102" t="s">
        <v>706</v>
      </c>
    </row>
    <row r="4" spans="1:9">
      <c r="C4" s="423" t="s">
        <v>1004</v>
      </c>
      <c r="D4" s="423"/>
      <c r="E4" s="423"/>
      <c r="F4" s="423"/>
      <c r="G4" s="423"/>
      <c r="I4" s="41"/>
    </row>
    <row r="7" spans="1:9" ht="25.5">
      <c r="A7" s="321" t="s">
        <v>703</v>
      </c>
      <c r="B7" s="321"/>
      <c r="C7" s="321" t="s">
        <v>7</v>
      </c>
      <c r="D7" s="321"/>
      <c r="E7" s="321" t="s">
        <v>704</v>
      </c>
      <c r="F7" s="321"/>
      <c r="G7" s="321" t="s">
        <v>705</v>
      </c>
      <c r="I7" s="321" t="s">
        <v>665</v>
      </c>
    </row>
    <row r="8" spans="1:9">
      <c r="A8" s="324">
        <v>-1</v>
      </c>
      <c r="B8" s="324"/>
      <c r="C8" s="324">
        <f>+A8-1</f>
        <v>-2</v>
      </c>
      <c r="D8" s="324"/>
      <c r="E8" s="324">
        <f>+C8-1</f>
        <v>-3</v>
      </c>
      <c r="F8" s="324"/>
      <c r="G8" s="324">
        <f>+E8-1</f>
        <v>-4</v>
      </c>
      <c r="I8" s="324">
        <f>+G8-1</f>
        <v>-5</v>
      </c>
    </row>
    <row r="9" spans="1:9">
      <c r="A9" s="101"/>
      <c r="B9" s="101"/>
    </row>
    <row r="10" spans="1:9">
      <c r="A10" s="101">
        <v>1</v>
      </c>
      <c r="B10" s="101"/>
      <c r="C10" s="328" t="s">
        <v>801</v>
      </c>
      <c r="D10" s="328"/>
      <c r="E10" s="329">
        <f>188418.99/2</f>
        <v>94209.494999999995</v>
      </c>
      <c r="F10" s="328"/>
      <c r="G10" s="330">
        <f>ROUND(I10/E10,2)</f>
        <v>59.5</v>
      </c>
      <c r="I10" s="331">
        <f>11211204.06/2</f>
        <v>5605602.0300000003</v>
      </c>
    </row>
    <row r="11" spans="1:9">
      <c r="A11" s="101"/>
      <c r="B11" s="101"/>
      <c r="C11" s="328"/>
      <c r="D11" s="328"/>
      <c r="E11" s="329"/>
      <c r="F11" s="328"/>
      <c r="G11" s="330"/>
      <c r="I11" s="331"/>
    </row>
    <row r="12" spans="1:9">
      <c r="A12" s="101">
        <v>2</v>
      </c>
      <c r="B12" s="101"/>
      <c r="C12" s="328" t="s">
        <v>802</v>
      </c>
      <c r="D12" s="328"/>
      <c r="E12" s="329">
        <v>207285</v>
      </c>
      <c r="F12" s="328"/>
      <c r="G12" s="330">
        <f>ROUND(I12/E12,2)</f>
        <v>53.81</v>
      </c>
      <c r="I12" s="331">
        <f>22307898.72/2</f>
        <v>11153949.359999999</v>
      </c>
    </row>
    <row r="13" spans="1:9">
      <c r="A13" s="101"/>
      <c r="B13" s="101"/>
      <c r="C13" s="325"/>
      <c r="D13" s="325"/>
      <c r="E13" s="326" t="s">
        <v>566</v>
      </c>
      <c r="F13" s="325"/>
      <c r="G13" s="326" t="s">
        <v>566</v>
      </c>
      <c r="I13" s="326" t="s">
        <v>566</v>
      </c>
    </row>
    <row r="14" spans="1:9">
      <c r="A14" s="101">
        <v>3</v>
      </c>
      <c r="B14" s="101"/>
      <c r="C14" s="328" t="s">
        <v>803</v>
      </c>
      <c r="D14" s="328"/>
      <c r="E14" s="329">
        <f>7681/2</f>
        <v>3840.5</v>
      </c>
      <c r="F14" s="328"/>
      <c r="G14" s="328"/>
      <c r="I14" s="331"/>
    </row>
    <row r="15" spans="1:9">
      <c r="A15" s="101"/>
      <c r="B15" s="101"/>
      <c r="C15" s="328"/>
      <c r="D15" s="328"/>
      <c r="E15" s="329"/>
      <c r="F15" s="328"/>
      <c r="G15" s="328"/>
      <c r="I15" s="331"/>
    </row>
    <row r="16" spans="1:9">
      <c r="A16" s="101">
        <v>4</v>
      </c>
      <c r="B16" s="101"/>
      <c r="C16" s="328" t="s">
        <v>804</v>
      </c>
      <c r="D16" s="328"/>
      <c r="E16" s="329">
        <f>7681/2</f>
        <v>3840.5</v>
      </c>
      <c r="F16" s="328"/>
      <c r="G16" s="328"/>
      <c r="I16" s="331"/>
    </row>
    <row r="17" spans="1:9">
      <c r="A17" s="101"/>
      <c r="B17" s="101"/>
      <c r="C17" s="325"/>
      <c r="D17" s="325"/>
      <c r="E17" s="325"/>
      <c r="F17" s="325"/>
      <c r="G17" s="325"/>
      <c r="I17" s="326"/>
    </row>
    <row r="18" spans="1:9">
      <c r="A18" s="101">
        <v>5</v>
      </c>
      <c r="B18" s="101"/>
      <c r="C18" s="328" t="s">
        <v>807</v>
      </c>
      <c r="D18" s="328"/>
      <c r="E18" s="329">
        <f>E10/E14</f>
        <v>24.530528577008202</v>
      </c>
      <c r="F18" s="328"/>
      <c r="G18" s="328"/>
      <c r="I18" s="331"/>
    </row>
    <row r="19" spans="1:9">
      <c r="A19" s="101"/>
      <c r="B19" s="101"/>
      <c r="C19" s="328"/>
      <c r="D19" s="328"/>
      <c r="E19" s="329"/>
      <c r="F19" s="328"/>
      <c r="G19" s="328"/>
      <c r="I19" s="331"/>
    </row>
    <row r="20" spans="1:9" ht="12.75" customHeight="1">
      <c r="A20" s="101">
        <v>6</v>
      </c>
      <c r="B20" s="101"/>
      <c r="C20" s="328" t="s">
        <v>808</v>
      </c>
      <c r="D20" s="328"/>
      <c r="E20" s="329">
        <f>E12/E16</f>
        <v>53.973440958208563</v>
      </c>
      <c r="F20" s="328"/>
      <c r="G20" s="328"/>
      <c r="I20" s="331"/>
    </row>
    <row r="21" spans="1:9">
      <c r="A21" s="101"/>
      <c r="B21" s="101"/>
      <c r="C21" s="325"/>
      <c r="D21" s="325"/>
      <c r="E21" s="325"/>
      <c r="F21" s="325"/>
      <c r="G21" s="325"/>
      <c r="I21" s="326"/>
    </row>
    <row r="22" spans="1:9">
      <c r="A22" s="101">
        <v>7</v>
      </c>
      <c r="B22" s="101"/>
      <c r="C22" s="95" t="s">
        <v>805</v>
      </c>
      <c r="D22" s="95"/>
      <c r="E22" s="329">
        <v>30</v>
      </c>
      <c r="F22" s="95"/>
      <c r="G22" s="95"/>
      <c r="I22" s="332"/>
    </row>
    <row r="23" spans="1:9">
      <c r="A23" s="101"/>
      <c r="B23" s="101"/>
      <c r="C23" s="95"/>
      <c r="D23" s="95"/>
      <c r="E23" s="329"/>
      <c r="F23" s="95"/>
      <c r="G23" s="95"/>
      <c r="I23" s="332"/>
    </row>
    <row r="24" spans="1:9">
      <c r="A24" s="101">
        <v>8</v>
      </c>
      <c r="B24" s="101"/>
      <c r="C24" s="95" t="s">
        <v>806</v>
      </c>
      <c r="D24" s="95"/>
      <c r="E24" s="329">
        <v>15</v>
      </c>
      <c r="F24" s="95"/>
      <c r="G24" s="95"/>
      <c r="I24" s="332"/>
    </row>
    <row r="25" spans="1:9">
      <c r="A25" s="101"/>
      <c r="B25" s="101"/>
      <c r="C25" s="325"/>
      <c r="D25" s="325"/>
      <c r="E25" s="326" t="s">
        <v>566</v>
      </c>
      <c r="F25" s="325"/>
      <c r="G25" s="325"/>
      <c r="I25" s="326"/>
    </row>
    <row r="26" spans="1:9">
      <c r="A26" s="101">
        <v>9</v>
      </c>
      <c r="B26" s="101"/>
      <c r="C26" s="325" t="s">
        <v>873</v>
      </c>
      <c r="D26" s="325"/>
      <c r="E26" s="329">
        <f>ROUND(E14*E22,0)</f>
        <v>115215</v>
      </c>
      <c r="F26" s="325"/>
      <c r="G26" s="333">
        <f>G10</f>
        <v>59.5</v>
      </c>
      <c r="I26" s="334">
        <f>ROUND(E26*G26,0)</f>
        <v>6855293</v>
      </c>
    </row>
    <row r="27" spans="1:9">
      <c r="A27" s="101"/>
      <c r="B27" s="101"/>
      <c r="C27" s="325"/>
      <c r="D27" s="325"/>
      <c r="E27" s="329"/>
      <c r="F27" s="325"/>
      <c r="G27" s="333"/>
      <c r="I27" s="334"/>
    </row>
    <row r="28" spans="1:9">
      <c r="A28" s="101">
        <v>10</v>
      </c>
      <c r="B28" s="101"/>
      <c r="C28" s="325" t="s">
        <v>874</v>
      </c>
      <c r="D28" s="325"/>
      <c r="E28" s="329">
        <f>ROUND(E16*E24,0)</f>
        <v>57608</v>
      </c>
      <c r="F28" s="325"/>
      <c r="G28" s="333">
        <f>G12</f>
        <v>53.81</v>
      </c>
      <c r="I28" s="334">
        <f>ROUND(E28*G28,0)</f>
        <v>3099886</v>
      </c>
    </row>
    <row r="29" spans="1:9">
      <c r="E29" s="326" t="s">
        <v>566</v>
      </c>
      <c r="G29" s="326" t="s">
        <v>566</v>
      </c>
      <c r="I29" s="326" t="s">
        <v>566</v>
      </c>
    </row>
    <row r="30" spans="1:9">
      <c r="A30" s="101">
        <v>11</v>
      </c>
      <c r="C30" s="325" t="s">
        <v>875</v>
      </c>
      <c r="E30" s="335">
        <f>E26-E10</f>
        <v>21005.505000000005</v>
      </c>
      <c r="G30" s="326"/>
      <c r="I30" s="334">
        <f>I26-I10</f>
        <v>1249690.9699999997</v>
      </c>
    </row>
    <row r="31" spans="1:9">
      <c r="A31" s="101"/>
      <c r="C31" s="325"/>
      <c r="E31" s="335"/>
      <c r="G31" s="326"/>
      <c r="I31" s="334"/>
    </row>
    <row r="32" spans="1:9">
      <c r="A32" s="101">
        <v>12</v>
      </c>
      <c r="C32" s="325" t="s">
        <v>876</v>
      </c>
      <c r="E32" s="335">
        <f>E28-E12</f>
        <v>-149677</v>
      </c>
      <c r="G32" s="326"/>
      <c r="I32" s="334">
        <f>I28-I12</f>
        <v>-8054063.3599999994</v>
      </c>
    </row>
    <row r="33" spans="1:9">
      <c r="A33" s="101"/>
      <c r="B33" s="101"/>
      <c r="C33" s="328"/>
      <c r="D33" s="328"/>
      <c r="E33" s="326" t="s">
        <v>566</v>
      </c>
      <c r="F33" s="328"/>
      <c r="I33" s="326" t="s">
        <v>566</v>
      </c>
    </row>
    <row r="34" spans="1:9">
      <c r="A34" s="101">
        <v>13</v>
      </c>
      <c r="B34" s="101"/>
      <c r="C34" s="336" t="s">
        <v>877</v>
      </c>
      <c r="D34" s="325"/>
      <c r="E34" s="332">
        <f>E30+E32</f>
        <v>-128671.495</v>
      </c>
      <c r="F34" s="325"/>
      <c r="G34" s="325"/>
      <c r="I34" s="331">
        <f>I30+I32</f>
        <v>-6804372.3899999997</v>
      </c>
    </row>
    <row r="35" spans="1:9">
      <c r="A35" s="101"/>
      <c r="B35" s="101"/>
      <c r="C35" s="95"/>
      <c r="D35" s="95"/>
      <c r="E35" s="326" t="s">
        <v>572</v>
      </c>
      <c r="F35" s="95"/>
      <c r="G35" s="95"/>
      <c r="I35" s="337"/>
    </row>
    <row r="36" spans="1:9">
      <c r="A36" s="101">
        <f>+A34+1</f>
        <v>14</v>
      </c>
      <c r="B36" s="101"/>
      <c r="C36" s="325" t="s">
        <v>948</v>
      </c>
      <c r="D36" s="325"/>
      <c r="E36" s="325"/>
      <c r="F36" s="325"/>
      <c r="G36" s="325"/>
      <c r="I36" s="338">
        <f>'Allocation Factors'!G14</f>
        <v>0.98599999999999999</v>
      </c>
    </row>
    <row r="37" spans="1:9">
      <c r="B37" s="101"/>
      <c r="C37" s="325"/>
      <c r="D37" s="325"/>
      <c r="E37" s="325"/>
      <c r="F37" s="325"/>
      <c r="G37" s="325"/>
      <c r="I37" s="326" t="s">
        <v>566</v>
      </c>
    </row>
    <row r="38" spans="1:9">
      <c r="A38" s="101">
        <f>A36+1</f>
        <v>15</v>
      </c>
      <c r="B38" s="101"/>
      <c r="C38" s="325" t="s">
        <v>878</v>
      </c>
      <c r="D38" s="325"/>
      <c r="E38" s="325"/>
      <c r="F38" s="325"/>
      <c r="G38" s="325"/>
      <c r="I38" s="334">
        <f>ROUND(I34*I36,0)</f>
        <v>-6709111</v>
      </c>
    </row>
    <row r="39" spans="1:9">
      <c r="A39" s="101"/>
      <c r="B39" s="101"/>
      <c r="C39" s="325"/>
      <c r="D39" s="325"/>
      <c r="E39" s="325"/>
      <c r="F39" s="325"/>
      <c r="G39" s="325"/>
      <c r="I39" s="326" t="s">
        <v>572</v>
      </c>
    </row>
    <row r="40" spans="1:9">
      <c r="A40" s="101"/>
      <c r="B40" s="101"/>
      <c r="C40" s="325"/>
      <c r="D40" s="325"/>
      <c r="E40" s="325"/>
      <c r="F40" s="325"/>
      <c r="G40" s="325"/>
      <c r="I40" s="326"/>
    </row>
    <row r="41" spans="1:9">
      <c r="A41" s="101"/>
      <c r="B41" s="101"/>
      <c r="C41" s="325"/>
      <c r="D41" s="325"/>
      <c r="E41" s="325"/>
      <c r="F41" s="325"/>
      <c r="G41" s="325"/>
      <c r="I41" s="339"/>
    </row>
    <row r="42" spans="1:9">
      <c r="A42" s="101"/>
      <c r="B42" s="101"/>
      <c r="C42" s="325"/>
      <c r="D42" s="325"/>
      <c r="E42" s="325"/>
      <c r="F42" s="325"/>
      <c r="G42" s="325"/>
      <c r="I42" s="339"/>
    </row>
    <row r="43" spans="1:9">
      <c r="A43" s="101"/>
      <c r="B43" s="101"/>
      <c r="I43" s="326"/>
    </row>
    <row r="44" spans="1:9">
      <c r="A44" s="101"/>
      <c r="B44" s="101"/>
      <c r="C44" s="101"/>
      <c r="D44" s="101"/>
      <c r="E44" s="101"/>
      <c r="F44" s="101"/>
      <c r="G44" s="101"/>
    </row>
    <row r="45" spans="1:9">
      <c r="A45" s="101"/>
      <c r="B45" s="101"/>
      <c r="I45" s="326"/>
    </row>
    <row r="46" spans="1:9">
      <c r="C46" s="325"/>
      <c r="D46" s="325"/>
      <c r="E46" s="325"/>
      <c r="F46" s="325"/>
      <c r="G46" s="325"/>
    </row>
    <row r="47" spans="1:9">
      <c r="A47" s="101"/>
      <c r="B47" s="101"/>
      <c r="C47" s="325"/>
      <c r="D47" s="325"/>
      <c r="E47" s="325"/>
      <c r="F47" s="325"/>
      <c r="G47" s="325"/>
      <c r="I47" s="331"/>
    </row>
    <row r="48" spans="1:9">
      <c r="A48" s="101"/>
      <c r="B48" s="101"/>
      <c r="C48" s="325"/>
      <c r="D48" s="325"/>
      <c r="E48" s="325"/>
      <c r="F48" s="325"/>
      <c r="G48" s="325"/>
      <c r="I48" s="331"/>
    </row>
    <row r="49" spans="1:9">
      <c r="A49" s="101"/>
      <c r="B49" s="101"/>
      <c r="C49" s="95"/>
      <c r="D49" s="325"/>
      <c r="E49" s="325"/>
      <c r="F49" s="325"/>
      <c r="G49" s="325"/>
      <c r="I49" s="340"/>
    </row>
    <row r="50" spans="1:9">
      <c r="C50" s="325"/>
      <c r="D50" s="325"/>
      <c r="E50" s="325"/>
      <c r="F50" s="325"/>
      <c r="G50" s="325"/>
      <c r="I50" s="326"/>
    </row>
    <row r="51" spans="1:9">
      <c r="A51" s="101"/>
      <c r="B51" s="101"/>
      <c r="C51" s="325"/>
      <c r="D51" s="325"/>
      <c r="E51" s="325"/>
      <c r="F51" s="325"/>
      <c r="G51" s="325"/>
      <c r="I51" s="331"/>
    </row>
    <row r="52" spans="1:9">
      <c r="C52" s="325"/>
      <c r="D52" s="325"/>
      <c r="E52" s="325"/>
      <c r="F52" s="325"/>
      <c r="G52" s="325"/>
      <c r="I52" s="331"/>
    </row>
    <row r="53" spans="1:9">
      <c r="A53" s="101"/>
      <c r="B53" s="101"/>
      <c r="C53" s="325"/>
      <c r="D53" s="325"/>
      <c r="E53" s="325"/>
      <c r="F53" s="325"/>
      <c r="G53" s="325"/>
      <c r="I53" s="337"/>
    </row>
    <row r="54" spans="1:9">
      <c r="C54" s="325"/>
      <c r="D54" s="325"/>
      <c r="E54" s="325"/>
      <c r="F54" s="325"/>
      <c r="G54" s="325"/>
      <c r="I54" s="326"/>
    </row>
    <row r="55" spans="1:9">
      <c r="A55" s="101"/>
      <c r="B55" s="101"/>
      <c r="C55" s="325"/>
      <c r="D55" s="325"/>
      <c r="E55" s="325"/>
      <c r="F55" s="325"/>
      <c r="G55" s="325"/>
      <c r="I55" s="331"/>
    </row>
    <row r="56" spans="1:9">
      <c r="C56" s="325"/>
      <c r="D56" s="325"/>
      <c r="E56" s="325"/>
      <c r="F56" s="325"/>
      <c r="G56" s="325"/>
      <c r="I56" s="326"/>
    </row>
    <row r="57" spans="1:9">
      <c r="A57" s="101"/>
      <c r="B57" s="101"/>
      <c r="C57" s="325"/>
      <c r="D57" s="325"/>
      <c r="E57" s="325"/>
      <c r="F57" s="325"/>
      <c r="G57" s="325"/>
      <c r="I57" s="331"/>
    </row>
    <row r="58" spans="1:9">
      <c r="C58" s="325"/>
      <c r="D58" s="325"/>
      <c r="E58" s="325"/>
      <c r="F58" s="325"/>
      <c r="G58" s="325"/>
      <c r="I58" s="326"/>
    </row>
    <row r="59" spans="1:9">
      <c r="A59" s="101"/>
      <c r="B59" s="101"/>
      <c r="C59" s="325"/>
      <c r="D59" s="325"/>
      <c r="E59" s="325"/>
      <c r="F59" s="325"/>
      <c r="G59" s="325"/>
      <c r="I59" s="331"/>
    </row>
    <row r="60" spans="1:9">
      <c r="C60" s="325"/>
      <c r="D60" s="325"/>
      <c r="E60" s="325"/>
      <c r="F60" s="325"/>
      <c r="G60" s="325"/>
      <c r="I60" s="331"/>
    </row>
    <row r="61" spans="1:9">
      <c r="A61" s="101"/>
      <c r="B61" s="101"/>
      <c r="C61" s="325"/>
      <c r="D61" s="325"/>
      <c r="E61" s="325"/>
      <c r="F61" s="325"/>
      <c r="G61" s="325"/>
      <c r="I61" s="337"/>
    </row>
    <row r="62" spans="1:9">
      <c r="C62" s="325"/>
      <c r="D62" s="325"/>
      <c r="E62" s="325"/>
      <c r="F62" s="325"/>
      <c r="G62" s="325"/>
      <c r="I62" s="326"/>
    </row>
    <row r="63" spans="1:9">
      <c r="A63" s="101"/>
      <c r="B63" s="101"/>
      <c r="C63" s="325"/>
      <c r="D63" s="325"/>
      <c r="E63" s="325"/>
      <c r="F63" s="325"/>
      <c r="G63" s="325"/>
      <c r="I63" s="331"/>
    </row>
    <row r="64" spans="1:9">
      <c r="C64" s="325"/>
      <c r="D64" s="325"/>
      <c r="E64" s="325"/>
      <c r="F64" s="325"/>
      <c r="G64" s="325"/>
      <c r="I64" s="326"/>
    </row>
    <row r="65" spans="3:9">
      <c r="C65" s="325"/>
      <c r="D65" s="325"/>
      <c r="E65" s="325"/>
      <c r="F65" s="325"/>
      <c r="G65" s="325"/>
      <c r="I65" s="331"/>
    </row>
    <row r="66" spans="3:9">
      <c r="C66" s="325"/>
      <c r="D66" s="325"/>
      <c r="E66" s="325"/>
      <c r="F66" s="325"/>
      <c r="G66" s="325"/>
      <c r="I66" s="331"/>
    </row>
    <row r="67" spans="3:9">
      <c r="C67" s="325"/>
      <c r="D67" s="325"/>
      <c r="E67" s="325"/>
      <c r="F67" s="325"/>
      <c r="G67" s="325"/>
      <c r="I67" s="331"/>
    </row>
    <row r="68" spans="3:9">
      <c r="C68" s="325"/>
      <c r="D68" s="325"/>
      <c r="E68" s="325"/>
      <c r="F68" s="325"/>
      <c r="G68" s="325"/>
      <c r="I68" s="331"/>
    </row>
    <row r="69" spans="3:9">
      <c r="C69" s="325"/>
      <c r="D69" s="325"/>
      <c r="E69" s="325"/>
      <c r="F69" s="325"/>
      <c r="G69" s="325"/>
      <c r="I69" s="331"/>
    </row>
    <row r="70" spans="3:9">
      <c r="C70" s="325"/>
      <c r="D70" s="325"/>
      <c r="E70" s="325"/>
      <c r="F70" s="325"/>
      <c r="G70" s="325"/>
      <c r="I70" s="331"/>
    </row>
    <row r="71" spans="3:9">
      <c r="C71" s="325"/>
      <c r="D71" s="325"/>
      <c r="E71" s="325"/>
      <c r="F71" s="325"/>
      <c r="G71" s="325"/>
      <c r="I71" s="331"/>
    </row>
    <row r="72" spans="3:9">
      <c r="C72" s="325"/>
      <c r="D72" s="325"/>
      <c r="E72" s="325"/>
      <c r="F72" s="325"/>
      <c r="G72" s="325"/>
      <c r="I72" s="331"/>
    </row>
    <row r="73" spans="3:9">
      <c r="C73" s="325"/>
      <c r="D73" s="325"/>
      <c r="E73" s="325"/>
      <c r="F73" s="325"/>
      <c r="G73" s="325"/>
      <c r="I73" s="331"/>
    </row>
    <row r="74" spans="3:9">
      <c r="C74" s="325"/>
      <c r="D74" s="325"/>
      <c r="E74" s="325"/>
      <c r="F74" s="325"/>
      <c r="G74" s="325"/>
      <c r="I74" s="331"/>
    </row>
    <row r="75" spans="3:9">
      <c r="C75" s="325"/>
      <c r="D75" s="325"/>
      <c r="E75" s="325"/>
      <c r="F75" s="325"/>
      <c r="G75" s="325"/>
      <c r="I75" s="331"/>
    </row>
    <row r="76" spans="3:9">
      <c r="C76" s="325"/>
      <c r="D76" s="325"/>
      <c r="E76" s="325"/>
      <c r="F76" s="325"/>
      <c r="G76" s="325"/>
      <c r="I76" s="331"/>
    </row>
    <row r="77" spans="3:9">
      <c r="C77" s="325"/>
      <c r="D77" s="325"/>
      <c r="E77" s="325"/>
      <c r="F77" s="325"/>
      <c r="G77" s="325"/>
      <c r="I77" s="331"/>
    </row>
    <row r="78" spans="3:9">
      <c r="C78" s="325"/>
      <c r="D78" s="325"/>
      <c r="E78" s="325"/>
      <c r="F78" s="325"/>
      <c r="G78" s="325"/>
      <c r="I78" s="331"/>
    </row>
    <row r="79" spans="3:9">
      <c r="C79" s="325"/>
      <c r="D79" s="325"/>
      <c r="E79" s="325"/>
      <c r="F79" s="325"/>
      <c r="G79" s="325"/>
      <c r="I79" s="331"/>
    </row>
    <row r="80" spans="3:9">
      <c r="C80" s="325"/>
      <c r="D80" s="325"/>
      <c r="E80" s="325"/>
      <c r="F80" s="325"/>
      <c r="G80" s="325"/>
      <c r="I80" s="331"/>
    </row>
    <row r="81" spans="3:9">
      <c r="C81" s="325"/>
      <c r="D81" s="325"/>
      <c r="E81" s="325"/>
      <c r="F81" s="325"/>
      <c r="G81" s="325"/>
      <c r="I81" s="331"/>
    </row>
    <row r="82" spans="3:9">
      <c r="C82" s="325"/>
      <c r="D82" s="325"/>
      <c r="E82" s="325"/>
      <c r="F82" s="325"/>
      <c r="G82" s="325"/>
      <c r="I82" s="331"/>
    </row>
    <row r="83" spans="3:9">
      <c r="C83" s="325"/>
      <c r="D83" s="325"/>
      <c r="E83" s="325"/>
      <c r="F83" s="325"/>
      <c r="G83" s="325"/>
      <c r="I83" s="331"/>
    </row>
    <row r="84" spans="3:9">
      <c r="C84" s="325"/>
      <c r="D84" s="325"/>
      <c r="E84" s="325"/>
      <c r="F84" s="325"/>
      <c r="G84" s="325"/>
      <c r="I84" s="331"/>
    </row>
    <row r="85" spans="3:9">
      <c r="C85" s="325"/>
      <c r="D85" s="325"/>
      <c r="E85" s="325"/>
      <c r="F85" s="325"/>
      <c r="G85" s="325"/>
      <c r="I85" s="331"/>
    </row>
    <row r="86" spans="3:9">
      <c r="C86" s="325"/>
      <c r="D86" s="325"/>
      <c r="E86" s="325"/>
      <c r="F86" s="325"/>
      <c r="G86" s="325"/>
      <c r="I86" s="331"/>
    </row>
    <row r="87" spans="3:9">
      <c r="C87" s="325"/>
      <c r="D87" s="325"/>
      <c r="E87" s="325"/>
      <c r="F87" s="325"/>
      <c r="G87" s="325"/>
      <c r="I87" s="331"/>
    </row>
    <row r="88" spans="3:9">
      <c r="C88" s="325"/>
      <c r="D88" s="325"/>
      <c r="E88" s="325"/>
      <c r="F88" s="325"/>
      <c r="G88" s="325"/>
      <c r="I88" s="331"/>
    </row>
    <row r="89" spans="3:9">
      <c r="C89" s="325"/>
      <c r="D89" s="325"/>
      <c r="E89" s="325"/>
      <c r="F89" s="325"/>
      <c r="G89" s="325"/>
      <c r="I89" s="331"/>
    </row>
    <row r="90" spans="3:9">
      <c r="C90" s="325"/>
      <c r="D90" s="325"/>
      <c r="E90" s="325"/>
      <c r="F90" s="325"/>
      <c r="G90" s="325"/>
      <c r="I90" s="331"/>
    </row>
    <row r="91" spans="3:9">
      <c r="C91" s="325"/>
      <c r="D91" s="325"/>
      <c r="E91" s="325"/>
      <c r="F91" s="325"/>
      <c r="G91" s="325"/>
      <c r="I91" s="331"/>
    </row>
    <row r="92" spans="3:9">
      <c r="C92" s="325"/>
      <c r="D92" s="325"/>
      <c r="E92" s="325"/>
      <c r="F92" s="325"/>
      <c r="G92" s="325"/>
      <c r="I92" s="331"/>
    </row>
    <row r="93" spans="3:9">
      <c r="C93" s="325"/>
      <c r="D93" s="325"/>
      <c r="E93" s="325"/>
      <c r="F93" s="325"/>
      <c r="G93" s="325"/>
      <c r="I93" s="331"/>
    </row>
    <row r="94" spans="3:9">
      <c r="C94" s="325"/>
      <c r="D94" s="325"/>
      <c r="E94" s="325"/>
      <c r="F94" s="325"/>
      <c r="G94" s="325"/>
      <c r="I94" s="331"/>
    </row>
    <row r="95" spans="3:9">
      <c r="C95" s="325"/>
      <c r="D95" s="325"/>
      <c r="E95" s="325"/>
      <c r="F95" s="325"/>
      <c r="G95" s="325"/>
      <c r="I95" s="331"/>
    </row>
    <row r="96" spans="3:9">
      <c r="C96" s="325"/>
      <c r="D96" s="325"/>
      <c r="E96" s="325"/>
      <c r="F96" s="325"/>
      <c r="G96" s="325"/>
      <c r="I96" s="331"/>
    </row>
    <row r="97" spans="3:9">
      <c r="C97" s="325"/>
      <c r="D97" s="325"/>
      <c r="E97" s="325"/>
      <c r="F97" s="325"/>
      <c r="G97" s="325"/>
      <c r="I97" s="331"/>
    </row>
    <row r="98" spans="3:9">
      <c r="C98" s="325"/>
      <c r="D98" s="325"/>
      <c r="E98" s="325"/>
      <c r="F98" s="325"/>
      <c r="G98" s="325"/>
      <c r="I98" s="331"/>
    </row>
    <row r="99" spans="3:9">
      <c r="C99" s="325"/>
      <c r="D99" s="325"/>
      <c r="E99" s="325"/>
      <c r="F99" s="325"/>
      <c r="G99" s="325"/>
      <c r="I99" s="331"/>
    </row>
    <row r="100" spans="3:9">
      <c r="C100" s="325"/>
      <c r="D100" s="325"/>
      <c r="E100" s="325"/>
      <c r="F100" s="325"/>
      <c r="G100" s="325"/>
      <c r="I100" s="331"/>
    </row>
    <row r="101" spans="3:9">
      <c r="C101" s="325"/>
      <c r="D101" s="325"/>
      <c r="E101" s="325"/>
      <c r="F101" s="325"/>
      <c r="G101" s="325"/>
      <c r="I101" s="331"/>
    </row>
    <row r="102" spans="3:9">
      <c r="C102" s="325"/>
      <c r="D102" s="325"/>
      <c r="E102" s="325"/>
      <c r="F102" s="325"/>
      <c r="G102" s="325"/>
      <c r="I102" s="331"/>
    </row>
    <row r="103" spans="3:9">
      <c r="C103" s="325"/>
      <c r="D103" s="325"/>
      <c r="E103" s="325"/>
      <c r="F103" s="325"/>
      <c r="G103" s="325"/>
      <c r="I103" s="331"/>
    </row>
    <row r="104" spans="3:9">
      <c r="C104" s="325"/>
      <c r="D104" s="325"/>
      <c r="E104" s="325"/>
      <c r="F104" s="325"/>
      <c r="G104" s="325"/>
      <c r="I104" s="331"/>
    </row>
    <row r="105" spans="3:9">
      <c r="C105" s="325"/>
      <c r="D105" s="325"/>
      <c r="E105" s="325"/>
      <c r="F105" s="325"/>
      <c r="G105" s="325"/>
      <c r="I105" s="331"/>
    </row>
    <row r="106" spans="3:9">
      <c r="C106" s="325"/>
      <c r="D106" s="325"/>
      <c r="E106" s="325"/>
      <c r="F106" s="325"/>
      <c r="G106" s="325"/>
      <c r="I106" s="331"/>
    </row>
    <row r="107" spans="3:9">
      <c r="C107" s="325"/>
      <c r="D107" s="325"/>
      <c r="E107" s="325"/>
      <c r="F107" s="325"/>
      <c r="G107" s="325"/>
      <c r="I107" s="331"/>
    </row>
    <row r="108" spans="3:9">
      <c r="C108" s="325"/>
      <c r="D108" s="325"/>
      <c r="E108" s="325"/>
      <c r="F108" s="325"/>
      <c r="G108" s="325"/>
      <c r="I108" s="331"/>
    </row>
    <row r="109" spans="3:9">
      <c r="C109" s="325"/>
      <c r="D109" s="325"/>
      <c r="E109" s="325"/>
      <c r="F109" s="325"/>
      <c r="G109" s="325"/>
      <c r="I109" s="331"/>
    </row>
    <row r="110" spans="3:9">
      <c r="C110" s="325"/>
      <c r="D110" s="325"/>
      <c r="E110" s="325"/>
      <c r="F110" s="325"/>
      <c r="G110" s="325"/>
      <c r="I110" s="331"/>
    </row>
    <row r="111" spans="3:9">
      <c r="I111" s="331"/>
    </row>
  </sheetData>
  <mergeCells count="4">
    <mergeCell ref="C1:G1"/>
    <mergeCell ref="C2:G2"/>
    <mergeCell ref="C3:G3"/>
    <mergeCell ref="C4:G4"/>
  </mergeCells>
  <printOptions horizontalCentered="1"/>
  <pageMargins left="0" right="0" top="1" bottom="0.5" header="0" footer="0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5"/>
  <sheetViews>
    <sheetView showGridLines="0" zoomScale="90" zoomScaleNormal="90" zoomScaleSheetLayoutView="70" workbookViewId="0">
      <pane xSplit="2" ySplit="4" topLeftCell="C6" activePane="bottomRight" state="frozen"/>
      <selection activeCell="C323" sqref="C323"/>
      <selection pane="topRight" activeCell="C323" sqref="C323"/>
      <selection pane="bottomLeft" activeCell="C323" sqref="C323"/>
      <selection pane="bottomRight" activeCell="K21" sqref="K21"/>
    </sheetView>
  </sheetViews>
  <sheetFormatPr defaultColWidth="9.140625" defaultRowHeight="14.1" customHeight="1"/>
  <cols>
    <col min="1" max="1" width="4.7109375" style="374" bestFit="1" customWidth="1"/>
    <col min="2" max="2" width="57.140625" style="89" customWidth="1"/>
    <col min="3" max="3" width="18.140625" style="89" bestFit="1" customWidth="1"/>
    <col min="4" max="4" width="13.85546875" style="89" bestFit="1" customWidth="1"/>
    <col min="5" max="5" width="17.140625" style="89" bestFit="1" customWidth="1"/>
    <col min="6" max="6" width="15" style="89" bestFit="1" customWidth="1"/>
    <col min="7" max="7" width="14.28515625" style="89" bestFit="1" customWidth="1"/>
    <col min="8" max="8" width="11.5703125" style="89" bestFit="1" customWidth="1"/>
    <col min="9" max="9" width="22.140625" style="14" bestFit="1" customWidth="1"/>
    <col min="10" max="10" width="13.85546875" style="89" bestFit="1" customWidth="1"/>
    <col min="11" max="11" width="32.7109375" style="89" customWidth="1"/>
    <col min="12" max="16384" width="9.140625" style="89"/>
  </cols>
  <sheetData>
    <row r="1" spans="1:10" ht="14.1" customHeight="1">
      <c r="D1" s="22"/>
    </row>
    <row r="2" spans="1:10" ht="14.1" customHeight="1">
      <c r="C2" s="374" t="s">
        <v>317</v>
      </c>
      <c r="E2" s="373"/>
      <c r="F2" s="373"/>
      <c r="H2" s="22"/>
    </row>
    <row r="3" spans="1:10" ht="14.1" customHeight="1">
      <c r="A3" s="374" t="s">
        <v>2</v>
      </c>
      <c r="B3" s="374"/>
      <c r="C3" s="374" t="s">
        <v>3</v>
      </c>
      <c r="D3" s="374" t="s">
        <v>366</v>
      </c>
      <c r="E3" s="373" t="s">
        <v>365</v>
      </c>
      <c r="F3" s="373" t="s">
        <v>4</v>
      </c>
      <c r="G3" s="123" t="s">
        <v>1</v>
      </c>
      <c r="H3" s="123"/>
      <c r="I3" s="123"/>
      <c r="J3" s="124" t="s">
        <v>5</v>
      </c>
    </row>
    <row r="4" spans="1:10" ht="26.25" customHeight="1">
      <c r="A4" s="125" t="s">
        <v>6</v>
      </c>
      <c r="B4" s="125" t="s">
        <v>7</v>
      </c>
      <c r="C4" s="126" t="s">
        <v>0</v>
      </c>
      <c r="D4" s="122" t="s">
        <v>8</v>
      </c>
      <c r="E4" s="126" t="s">
        <v>364</v>
      </c>
      <c r="F4" s="126" t="s">
        <v>9</v>
      </c>
      <c r="G4" s="126" t="s">
        <v>395</v>
      </c>
      <c r="H4" s="127"/>
      <c r="I4" s="122" t="s">
        <v>10</v>
      </c>
      <c r="J4" s="128" t="s">
        <v>11</v>
      </c>
    </row>
    <row r="5" spans="1:10" ht="14.1" customHeight="1">
      <c r="B5" s="129" t="s">
        <v>12</v>
      </c>
      <c r="C5" s="129" t="s">
        <v>13</v>
      </c>
      <c r="D5" s="129" t="s">
        <v>987</v>
      </c>
      <c r="E5" s="130" t="s">
        <v>988</v>
      </c>
      <c r="F5" s="130" t="s">
        <v>708</v>
      </c>
      <c r="G5" s="130" t="s">
        <v>709</v>
      </c>
      <c r="H5" s="131"/>
      <c r="I5" s="130"/>
    </row>
    <row r="6" spans="1:10" ht="13.5" customHeight="1">
      <c r="C6" s="38"/>
      <c r="E6" s="132"/>
      <c r="F6" s="22"/>
      <c r="G6" s="22"/>
      <c r="H6" s="65"/>
      <c r="I6" s="22"/>
    </row>
    <row r="7" spans="1:10" ht="14.1" customHeight="1">
      <c r="A7" s="374">
        <v>1</v>
      </c>
      <c r="B7" s="89" t="s">
        <v>319</v>
      </c>
      <c r="C7" s="10">
        <f t="shared" ref="C7:D8" si="0">C264</f>
        <v>554150678.60000002</v>
      </c>
      <c r="D7" s="10">
        <f t="shared" si="0"/>
        <v>0</v>
      </c>
      <c r="E7" s="10">
        <f t="shared" ref="E7:F9" si="1">E264</f>
        <v>554150678.60000002</v>
      </c>
      <c r="F7" s="10">
        <f t="shared" si="1"/>
        <v>-54616175.950000003</v>
      </c>
      <c r="G7" s="10">
        <f>E7+F7</f>
        <v>499534502.65000004</v>
      </c>
      <c r="H7" s="43"/>
      <c r="I7" s="133"/>
    </row>
    <row r="8" spans="1:10" ht="14.1" customHeight="1">
      <c r="A8" s="374">
        <f>A7+1</f>
        <v>2</v>
      </c>
      <c r="B8" s="134" t="s">
        <v>14</v>
      </c>
      <c r="C8" s="10">
        <f t="shared" si="0"/>
        <v>5037084.7799999993</v>
      </c>
      <c r="D8" s="10">
        <f>D265</f>
        <v>5037084.7799999993</v>
      </c>
      <c r="E8" s="10">
        <f t="shared" si="1"/>
        <v>0</v>
      </c>
      <c r="F8" s="10">
        <f t="shared" si="1"/>
        <v>0</v>
      </c>
      <c r="G8" s="10">
        <f>E8+F8</f>
        <v>0</v>
      </c>
      <c r="H8" s="43"/>
      <c r="I8" s="133"/>
    </row>
    <row r="9" spans="1:10" ht="14.1" customHeight="1">
      <c r="A9" s="374">
        <f>A8+1</f>
        <v>3</v>
      </c>
      <c r="B9" s="89" t="s">
        <v>15</v>
      </c>
      <c r="C9" s="10">
        <f>C266</f>
        <v>-1102335.6300000001</v>
      </c>
      <c r="D9" s="10">
        <f>D266</f>
        <v>-1102335.6300000001</v>
      </c>
      <c r="E9" s="10">
        <f t="shared" si="1"/>
        <v>0</v>
      </c>
      <c r="F9" s="10">
        <f t="shared" si="1"/>
        <v>0</v>
      </c>
      <c r="G9" s="10">
        <f>E9+F9</f>
        <v>0</v>
      </c>
      <c r="H9" s="43"/>
      <c r="I9" s="133"/>
    </row>
    <row r="10" spans="1:10" ht="14.1" customHeight="1">
      <c r="A10" s="374">
        <f>+A9+1</f>
        <v>4</v>
      </c>
      <c r="B10" s="89" t="s">
        <v>16</v>
      </c>
      <c r="C10" s="10">
        <f t="shared" ref="C10:F10" si="2">C301</f>
        <v>41847626.950000003</v>
      </c>
      <c r="D10" s="10">
        <f t="shared" si="2"/>
        <v>900576.43000000261</v>
      </c>
      <c r="E10" s="10">
        <f t="shared" si="2"/>
        <v>40947050.32</v>
      </c>
      <c r="F10" s="10">
        <f t="shared" si="2"/>
        <v>-15328304</v>
      </c>
      <c r="G10" s="10">
        <f>E10+F10</f>
        <v>25618746.32</v>
      </c>
      <c r="H10" s="43"/>
      <c r="I10" s="133"/>
    </row>
    <row r="11" spans="1:10" ht="14.1" customHeight="1">
      <c r="A11" s="374">
        <f t="shared" ref="A11:A74" si="3">+A10+1</f>
        <v>5</v>
      </c>
      <c r="B11" s="56" t="s">
        <v>17</v>
      </c>
      <c r="C11" s="64">
        <f t="shared" ref="C11:F11" si="4">C272</f>
        <v>47008914.299999997</v>
      </c>
      <c r="D11" s="64">
        <f t="shared" si="4"/>
        <v>658124.80020000041</v>
      </c>
      <c r="E11" s="64">
        <f t="shared" si="4"/>
        <v>46350789.499799997</v>
      </c>
      <c r="F11" s="64">
        <f t="shared" si="4"/>
        <v>-3993185.1</v>
      </c>
      <c r="G11" s="64">
        <f>E11+F11</f>
        <v>42357604.399799995</v>
      </c>
      <c r="H11" s="43"/>
      <c r="I11" s="133"/>
    </row>
    <row r="12" spans="1:10" s="18" customFormat="1" ht="14.1" customHeight="1">
      <c r="A12" s="374">
        <f t="shared" si="3"/>
        <v>6</v>
      </c>
      <c r="B12" s="2" t="s">
        <v>475</v>
      </c>
      <c r="C12" s="16">
        <f t="shared" ref="C12:F12" si="5">SUM(C7:C11)</f>
        <v>646941969</v>
      </c>
      <c r="D12" s="16">
        <f t="shared" si="5"/>
        <v>5493450.3802000023</v>
      </c>
      <c r="E12" s="16">
        <f t="shared" si="5"/>
        <v>641448518.41980004</v>
      </c>
      <c r="F12" s="16">
        <f t="shared" si="5"/>
        <v>-73937665.049999997</v>
      </c>
      <c r="G12" s="16">
        <f>SUM(G7:G11)</f>
        <v>567510853.36979997</v>
      </c>
      <c r="H12" s="16"/>
      <c r="I12" s="16"/>
    </row>
    <row r="13" spans="1:10" s="18" customFormat="1" ht="14.1" customHeight="1">
      <c r="A13" s="374">
        <f t="shared" si="3"/>
        <v>7</v>
      </c>
      <c r="B13" s="6"/>
      <c r="C13" s="16"/>
      <c r="D13" s="16"/>
      <c r="E13" s="135"/>
      <c r="F13" s="43"/>
      <c r="G13" s="136"/>
      <c r="H13" s="16"/>
      <c r="I13" s="136"/>
    </row>
    <row r="14" spans="1:10" ht="14.1" customHeight="1">
      <c r="A14" s="374">
        <f t="shared" si="3"/>
        <v>8</v>
      </c>
      <c r="B14" s="3" t="s">
        <v>19</v>
      </c>
      <c r="C14" s="10"/>
      <c r="D14" s="10"/>
      <c r="E14" s="48"/>
      <c r="F14" s="43"/>
      <c r="G14" s="133"/>
      <c r="H14" s="43"/>
      <c r="I14" s="133"/>
    </row>
    <row r="15" spans="1:10" ht="14.1" customHeight="1">
      <c r="A15" s="374">
        <f t="shared" si="3"/>
        <v>9</v>
      </c>
      <c r="B15" s="89" t="s">
        <v>20</v>
      </c>
      <c r="C15" s="10">
        <f t="shared" ref="C15:F15" si="6">C338</f>
        <v>310680316.73199999</v>
      </c>
      <c r="D15" s="10">
        <f t="shared" si="6"/>
        <v>4403590.7320000157</v>
      </c>
      <c r="E15" s="10">
        <f t="shared" si="6"/>
        <v>306276726</v>
      </c>
      <c r="F15" s="10">
        <f t="shared" si="6"/>
        <v>-15129077</v>
      </c>
      <c r="G15" s="10">
        <f t="shared" ref="G15:G22" si="7">E15+F15</f>
        <v>291147649</v>
      </c>
      <c r="H15" s="43"/>
      <c r="I15" s="133"/>
    </row>
    <row r="16" spans="1:10" ht="14.1" customHeight="1">
      <c r="A16" s="374">
        <f t="shared" si="3"/>
        <v>10</v>
      </c>
      <c r="B16" s="89" t="s">
        <v>21</v>
      </c>
      <c r="C16" s="10">
        <f t="shared" ref="C16:F16" si="8">C365</f>
        <v>36995935.009999998</v>
      </c>
      <c r="D16" s="10">
        <f t="shared" si="8"/>
        <v>173031.00999999995</v>
      </c>
      <c r="E16" s="10">
        <f t="shared" si="8"/>
        <v>36822904</v>
      </c>
      <c r="F16" s="10">
        <f t="shared" si="8"/>
        <v>646199.4</v>
      </c>
      <c r="G16" s="10">
        <f t="shared" si="7"/>
        <v>37469103.399999999</v>
      </c>
      <c r="H16" s="43"/>
      <c r="I16" s="133"/>
    </row>
    <row r="17" spans="1:10" ht="14.1" customHeight="1">
      <c r="A17" s="374">
        <f t="shared" si="3"/>
        <v>11</v>
      </c>
      <c r="B17" s="89" t="s">
        <v>22</v>
      </c>
      <c r="C17" s="10">
        <f t="shared" ref="C17:F17" si="9">C393</f>
        <v>49431232.890000001</v>
      </c>
      <c r="D17" s="10">
        <f t="shared" si="9"/>
        <v>49429.889999996492</v>
      </c>
      <c r="E17" s="10">
        <f t="shared" si="9"/>
        <v>49381803</v>
      </c>
      <c r="F17" s="10">
        <f t="shared" si="9"/>
        <v>-6698454.9300000016</v>
      </c>
      <c r="G17" s="10">
        <f t="shared" si="7"/>
        <v>42683348.07</v>
      </c>
      <c r="H17" s="43"/>
      <c r="I17" s="133"/>
    </row>
    <row r="18" spans="1:10" ht="14.1" customHeight="1">
      <c r="A18" s="374">
        <f t="shared" si="3"/>
        <v>12</v>
      </c>
      <c r="B18" s="89" t="s">
        <v>23</v>
      </c>
      <c r="C18" s="10">
        <f t="shared" ref="C18:F18" si="10">C402</f>
        <v>5767894.8599999994</v>
      </c>
      <c r="D18" s="10">
        <f t="shared" si="10"/>
        <v>67.860000000084256</v>
      </c>
      <c r="E18" s="10">
        <f t="shared" si="10"/>
        <v>5767827</v>
      </c>
      <c r="F18" s="10">
        <f t="shared" si="10"/>
        <v>-35318.94</v>
      </c>
      <c r="G18" s="10">
        <f t="shared" si="7"/>
        <v>5732508.0599999996</v>
      </c>
      <c r="H18" s="43"/>
      <c r="I18" s="133"/>
      <c r="J18" s="38"/>
    </row>
    <row r="19" spans="1:10" ht="14.1" customHeight="1">
      <c r="A19" s="374">
        <f t="shared" si="3"/>
        <v>13</v>
      </c>
      <c r="B19" s="89" t="s">
        <v>24</v>
      </c>
      <c r="C19" s="10">
        <f t="shared" ref="C19:F19" si="11">C416</f>
        <v>95534.67</v>
      </c>
      <c r="D19" s="10">
        <f t="shared" si="11"/>
        <v>1.1333978324896634</v>
      </c>
      <c r="E19" s="10">
        <f t="shared" si="11"/>
        <v>95533.536602167515</v>
      </c>
      <c r="F19" s="10">
        <f t="shared" si="11"/>
        <v>-29845.35</v>
      </c>
      <c r="G19" s="10">
        <f t="shared" si="7"/>
        <v>65688.186602167523</v>
      </c>
      <c r="H19" s="43"/>
      <c r="I19" s="133"/>
      <c r="J19" s="38"/>
    </row>
    <row r="20" spans="1:10" ht="14.1" customHeight="1">
      <c r="A20" s="374">
        <f t="shared" si="3"/>
        <v>14</v>
      </c>
      <c r="B20" s="89" t="s">
        <v>25</v>
      </c>
      <c r="C20" s="10">
        <f t="shared" ref="C20:F20" si="12">C409</f>
        <v>8570079.620000001</v>
      </c>
      <c r="D20" s="10">
        <f t="shared" si="12"/>
        <v>11.62000000016269</v>
      </c>
      <c r="E20" s="10">
        <f t="shared" si="12"/>
        <v>8570068</v>
      </c>
      <c r="F20" s="10">
        <f t="shared" si="12"/>
        <v>-7670239.3399999989</v>
      </c>
      <c r="G20" s="10">
        <f t="shared" si="7"/>
        <v>899828.66000000108</v>
      </c>
      <c r="H20" s="43"/>
      <c r="I20" s="133"/>
      <c r="J20" s="38"/>
    </row>
    <row r="21" spans="1:10" ht="14.1" customHeight="1">
      <c r="A21" s="374">
        <f t="shared" si="3"/>
        <v>15</v>
      </c>
      <c r="B21" s="89" t="s">
        <v>26</v>
      </c>
      <c r="C21" s="10">
        <f t="shared" ref="C21:F21" si="13">C437</f>
        <v>21123868.979999997</v>
      </c>
      <c r="D21" s="10">
        <f t="shared" si="13"/>
        <v>282651.45295999967</v>
      </c>
      <c r="E21" s="10">
        <f t="shared" si="13"/>
        <v>20841217.527040001</v>
      </c>
      <c r="F21" s="10">
        <f t="shared" si="13"/>
        <v>-2302686.459999999</v>
      </c>
      <c r="G21" s="10">
        <f t="shared" si="7"/>
        <v>18538531.067040004</v>
      </c>
      <c r="H21" s="43"/>
      <c r="I21" s="133"/>
      <c r="J21" s="38"/>
    </row>
    <row r="22" spans="1:10" ht="14.1" customHeight="1">
      <c r="A22" s="374">
        <f t="shared" si="3"/>
        <v>16</v>
      </c>
      <c r="B22" s="56" t="s">
        <v>27</v>
      </c>
      <c r="C22" s="64">
        <v>0</v>
      </c>
      <c r="D22" s="64">
        <v>0</v>
      </c>
      <c r="E22" s="64">
        <v>0</v>
      </c>
      <c r="F22" s="64">
        <v>0</v>
      </c>
      <c r="G22" s="64">
        <f t="shared" si="7"/>
        <v>0</v>
      </c>
      <c r="H22" s="43"/>
      <c r="I22" s="133"/>
      <c r="J22" s="38"/>
    </row>
    <row r="23" spans="1:10" s="18" customFormat="1" ht="14.1" customHeight="1">
      <c r="A23" s="374">
        <f t="shared" si="3"/>
        <v>17</v>
      </c>
      <c r="B23" s="2" t="s">
        <v>476</v>
      </c>
      <c r="C23" s="16">
        <f>SUM(C15:C22)</f>
        <v>432664862.76200002</v>
      </c>
      <c r="D23" s="16">
        <f t="shared" ref="D23:G23" si="14">SUM(D15:D22)</f>
        <v>4908783.6983578447</v>
      </c>
      <c r="E23" s="16">
        <f t="shared" si="14"/>
        <v>427756079.06364214</v>
      </c>
      <c r="F23" s="16">
        <f t="shared" si="14"/>
        <v>-31219422.620000005</v>
      </c>
      <c r="G23" s="16">
        <f t="shared" si="14"/>
        <v>396536656.4436422</v>
      </c>
      <c r="H23" s="16"/>
      <c r="I23" s="16"/>
      <c r="J23" s="38"/>
    </row>
    <row r="24" spans="1:10" s="18" customFormat="1" ht="14.1" customHeight="1">
      <c r="A24" s="374">
        <f t="shared" si="3"/>
        <v>18</v>
      </c>
      <c r="B24" s="6"/>
      <c r="C24" s="16"/>
      <c r="D24" s="16"/>
      <c r="E24" s="16"/>
      <c r="F24" s="43"/>
      <c r="G24" s="136"/>
      <c r="H24" s="16"/>
      <c r="I24" s="136"/>
      <c r="J24" s="38"/>
    </row>
    <row r="25" spans="1:10" ht="14.1" customHeight="1">
      <c r="A25" s="374">
        <f t="shared" si="3"/>
        <v>19</v>
      </c>
      <c r="B25" s="89" t="s">
        <v>29</v>
      </c>
      <c r="C25" s="10">
        <f t="shared" ref="C25:F25" si="15">C472</f>
        <v>85078040.630000025</v>
      </c>
      <c r="D25" s="10">
        <f t="shared" si="15"/>
        <v>872059.63000000699</v>
      </c>
      <c r="E25" s="10">
        <f t="shared" si="15"/>
        <v>84205981</v>
      </c>
      <c r="F25" s="10">
        <f t="shared" si="15"/>
        <v>-9445537.8200000003</v>
      </c>
      <c r="G25" s="10">
        <f>E25+F25</f>
        <v>74760443.180000007</v>
      </c>
      <c r="H25" s="43"/>
      <c r="I25" s="133"/>
      <c r="J25" s="38"/>
    </row>
    <row r="26" spans="1:10" ht="14.1" customHeight="1">
      <c r="A26" s="374">
        <f t="shared" si="3"/>
        <v>20</v>
      </c>
      <c r="B26" s="89" t="s">
        <v>30</v>
      </c>
      <c r="C26" s="10">
        <f t="shared" ref="C26:F26" si="16">C491</f>
        <v>21605601.739999998</v>
      </c>
      <c r="D26" s="10">
        <f t="shared" si="16"/>
        <v>-16893.260000001203</v>
      </c>
      <c r="E26" s="10">
        <f t="shared" si="16"/>
        <v>21622495</v>
      </c>
      <c r="F26" s="10">
        <f t="shared" si="16"/>
        <v>790361.24</v>
      </c>
      <c r="G26" s="10">
        <f>E26+F26</f>
        <v>22412856.239999998</v>
      </c>
      <c r="H26" s="43"/>
      <c r="I26" s="133"/>
      <c r="J26" s="38"/>
    </row>
    <row r="27" spans="1:10" ht="14.1" customHeight="1">
      <c r="A27" s="374">
        <f t="shared" si="3"/>
        <v>21</v>
      </c>
      <c r="B27" s="89" t="s">
        <v>31</v>
      </c>
      <c r="C27" s="10">
        <f t="shared" ref="C27:F27" si="17">C513</f>
        <v>-2593601</v>
      </c>
      <c r="D27" s="10">
        <f t="shared" si="17"/>
        <v>-2802908</v>
      </c>
      <c r="E27" s="10">
        <f t="shared" si="17"/>
        <v>209307</v>
      </c>
      <c r="F27" s="10">
        <f t="shared" si="17"/>
        <v>481719</v>
      </c>
      <c r="G27" s="10">
        <f>E27+F27</f>
        <v>691026</v>
      </c>
      <c r="H27" s="43"/>
      <c r="I27" s="133"/>
      <c r="J27" s="38"/>
    </row>
    <row r="28" spans="1:10" ht="14.1" customHeight="1">
      <c r="A28" s="374">
        <f t="shared" si="3"/>
        <v>22</v>
      </c>
      <c r="B28" s="89" t="s">
        <v>32</v>
      </c>
      <c r="C28" s="10">
        <f t="shared" ref="C28:F28" si="18">C498</f>
        <v>110400.06</v>
      </c>
      <c r="D28" s="10">
        <f t="shared" si="18"/>
        <v>5.9999999997671694E-2</v>
      </c>
      <c r="E28" s="10">
        <f t="shared" si="18"/>
        <v>110400</v>
      </c>
      <c r="F28" s="10">
        <f t="shared" si="18"/>
        <v>67254</v>
      </c>
      <c r="G28" s="10">
        <f>E28+F28</f>
        <v>177654</v>
      </c>
      <c r="H28" s="43"/>
      <c r="I28" s="133"/>
      <c r="J28" s="38"/>
    </row>
    <row r="29" spans="1:10" ht="14.1" customHeight="1">
      <c r="A29" s="374">
        <f t="shared" si="3"/>
        <v>23</v>
      </c>
      <c r="B29" s="56" t="s">
        <v>33</v>
      </c>
      <c r="C29" s="64">
        <f t="shared" ref="C29:F29" si="19">C509</f>
        <v>3597859.4000000004</v>
      </c>
      <c r="D29" s="64">
        <f t="shared" si="19"/>
        <v>838970.5700000003</v>
      </c>
      <c r="E29" s="64">
        <f t="shared" si="19"/>
        <v>2758888.83</v>
      </c>
      <c r="F29" s="64">
        <f t="shared" si="19"/>
        <v>-18254.979999999996</v>
      </c>
      <c r="G29" s="64">
        <f>E29+F29</f>
        <v>2740633.85</v>
      </c>
      <c r="H29" s="43"/>
      <c r="I29" s="133"/>
      <c r="J29" s="38"/>
    </row>
    <row r="30" spans="1:10" s="18" customFormat="1" ht="14.1" customHeight="1">
      <c r="A30" s="374">
        <f t="shared" si="3"/>
        <v>24</v>
      </c>
      <c r="B30" s="2" t="s">
        <v>34</v>
      </c>
      <c r="C30" s="16">
        <f t="shared" ref="C30:E30" si="20">SUM(C12)-SUM(C23:C29)</f>
        <v>106478805.40799987</v>
      </c>
      <c r="D30" s="16">
        <f t="shared" si="20"/>
        <v>1693437.6818421516</v>
      </c>
      <c r="E30" s="16">
        <f t="shared" si="20"/>
        <v>104785367.52615792</v>
      </c>
      <c r="F30" s="16">
        <f>SUM(F12)-SUM(F23:F29)</f>
        <v>-34593783.869999997</v>
      </c>
      <c r="G30" s="16">
        <f>SUM(G12)-SUM(G23:G29)</f>
        <v>70191583.656157732</v>
      </c>
      <c r="H30" s="16"/>
      <c r="I30" s="137"/>
      <c r="J30" s="38"/>
    </row>
    <row r="31" spans="1:10" s="18" customFormat="1" ht="14.1" customHeight="1">
      <c r="A31" s="374">
        <f t="shared" si="3"/>
        <v>25</v>
      </c>
      <c r="B31" s="6"/>
      <c r="C31" s="16"/>
      <c r="D31" s="16"/>
      <c r="E31" s="16"/>
      <c r="F31" s="43"/>
      <c r="G31" s="136"/>
      <c r="H31" s="16"/>
      <c r="I31" s="136"/>
      <c r="J31" s="38"/>
    </row>
    <row r="32" spans="1:10" ht="14.1" customHeight="1">
      <c r="A32" s="374">
        <f t="shared" si="3"/>
        <v>26</v>
      </c>
      <c r="B32" s="3" t="s">
        <v>35</v>
      </c>
      <c r="C32" s="10"/>
      <c r="D32" s="10"/>
      <c r="E32" s="43"/>
      <c r="F32" s="138"/>
      <c r="G32" s="133"/>
      <c r="H32" s="43"/>
      <c r="I32" s="133"/>
      <c r="J32" s="38"/>
    </row>
    <row r="33" spans="1:10" ht="14.1" customHeight="1">
      <c r="A33" s="374">
        <f t="shared" si="3"/>
        <v>27</v>
      </c>
      <c r="B33" s="89" t="s">
        <v>36</v>
      </c>
      <c r="C33" s="10">
        <f t="shared" ref="C33:F36" si="21">C514</f>
        <v>4962524</v>
      </c>
      <c r="D33" s="10">
        <f t="shared" si="21"/>
        <v>6038900</v>
      </c>
      <c r="E33" s="10">
        <f t="shared" si="21"/>
        <v>-1076376</v>
      </c>
      <c r="F33" s="10">
        <f t="shared" si="21"/>
        <v>-4546975</v>
      </c>
      <c r="G33" s="10">
        <f>E33+F33</f>
        <v>-5623351</v>
      </c>
      <c r="H33" s="43"/>
      <c r="I33" s="133"/>
      <c r="J33" s="38"/>
    </row>
    <row r="34" spans="1:10" ht="14.1" customHeight="1">
      <c r="A34" s="374">
        <f t="shared" si="3"/>
        <v>28</v>
      </c>
      <c r="B34" s="89" t="s">
        <v>37</v>
      </c>
      <c r="C34" s="10">
        <f t="shared" si="21"/>
        <v>17284111</v>
      </c>
      <c r="D34" s="10">
        <f t="shared" si="21"/>
        <v>-3811465</v>
      </c>
      <c r="E34" s="10">
        <f t="shared" si="21"/>
        <v>21095576</v>
      </c>
      <c r="F34" s="10">
        <f t="shared" si="21"/>
        <v>-1516162</v>
      </c>
      <c r="G34" s="10">
        <f>E34+F34</f>
        <v>19579414</v>
      </c>
      <c r="H34" s="43"/>
      <c r="I34" s="133"/>
      <c r="J34" s="38"/>
    </row>
    <row r="35" spans="1:10" s="22" customFormat="1" ht="14.1" customHeight="1">
      <c r="A35" s="374">
        <f t="shared" si="3"/>
        <v>29</v>
      </c>
      <c r="B35" s="22" t="s">
        <v>38</v>
      </c>
      <c r="C35" s="43">
        <f t="shared" si="21"/>
        <v>-2362</v>
      </c>
      <c r="D35" s="43">
        <f t="shared" si="21"/>
        <v>-35</v>
      </c>
      <c r="E35" s="43">
        <f t="shared" si="21"/>
        <v>-2327</v>
      </c>
      <c r="F35" s="43">
        <f t="shared" si="21"/>
        <v>0</v>
      </c>
      <c r="G35" s="10">
        <f>E35+F35</f>
        <v>-2327</v>
      </c>
      <c r="H35" s="43"/>
      <c r="I35" s="133"/>
      <c r="J35" s="38"/>
    </row>
    <row r="36" spans="1:10" s="22" customFormat="1" ht="14.1" customHeight="1">
      <c r="A36" s="374">
        <f t="shared" si="3"/>
        <v>30</v>
      </c>
      <c r="B36" s="57" t="s">
        <v>391</v>
      </c>
      <c r="C36" s="43">
        <f t="shared" si="21"/>
        <v>0</v>
      </c>
      <c r="D36" s="43">
        <f t="shared" si="21"/>
        <v>0</v>
      </c>
      <c r="E36" s="43">
        <f t="shared" si="21"/>
        <v>0</v>
      </c>
      <c r="F36" s="43">
        <f t="shared" si="21"/>
        <v>0</v>
      </c>
      <c r="G36" s="10">
        <f>E36+F36</f>
        <v>0</v>
      </c>
      <c r="H36" s="43"/>
      <c r="I36" s="133"/>
      <c r="J36" s="38"/>
    </row>
    <row r="37" spans="1:10" s="139" customFormat="1" ht="14.1" customHeight="1">
      <c r="A37" s="374">
        <f t="shared" si="3"/>
        <v>31</v>
      </c>
      <c r="B37" s="2" t="s">
        <v>39</v>
      </c>
      <c r="C37" s="86">
        <f>SUM(C32:C36)</f>
        <v>22244273</v>
      </c>
      <c r="D37" s="86">
        <f>SUM(D32:D36)</f>
        <v>2227400</v>
      </c>
      <c r="E37" s="86">
        <f>SUM(E32:E36)</f>
        <v>20016873</v>
      </c>
      <c r="F37" s="86">
        <f>SUM(F33:F36)</f>
        <v>-6063137</v>
      </c>
      <c r="G37" s="86">
        <f>SUM(G32:G36)</f>
        <v>13953736</v>
      </c>
      <c r="H37" s="413"/>
      <c r="I37" s="16"/>
      <c r="J37" s="38"/>
    </row>
    <row r="38" spans="1:10" s="18" customFormat="1" ht="14.1" customHeight="1">
      <c r="A38" s="374">
        <f t="shared" si="3"/>
        <v>32</v>
      </c>
      <c r="B38" s="6"/>
      <c r="C38" s="16"/>
      <c r="D38" s="16"/>
      <c r="E38" s="16"/>
      <c r="F38" s="43"/>
      <c r="G38" s="136"/>
      <c r="H38" s="16"/>
      <c r="I38" s="136"/>
      <c r="J38" s="38"/>
    </row>
    <row r="39" spans="1:10" s="374" customFormat="1" ht="14.1" customHeight="1">
      <c r="A39" s="374">
        <f t="shared" si="3"/>
        <v>33</v>
      </c>
      <c r="B39" s="117" t="s">
        <v>40</v>
      </c>
      <c r="C39" s="43">
        <f t="shared" ref="C39:F39" si="22">C30-C37</f>
        <v>84234532.407999873</v>
      </c>
      <c r="D39" s="43">
        <f t="shared" si="22"/>
        <v>-533962.31815784844</v>
      </c>
      <c r="E39" s="43">
        <f t="shared" si="22"/>
        <v>84768494.526157916</v>
      </c>
      <c r="F39" s="43">
        <f t="shared" si="22"/>
        <v>-28530646.869999997</v>
      </c>
      <c r="G39" s="43">
        <f>G30-G37</f>
        <v>56237847.656157732</v>
      </c>
      <c r="H39" s="43"/>
      <c r="I39" s="9"/>
      <c r="J39" s="38"/>
    </row>
    <row r="40" spans="1:10" s="374" customFormat="1" ht="14.1" customHeight="1">
      <c r="A40" s="374">
        <f t="shared" si="3"/>
        <v>34</v>
      </c>
      <c r="B40" s="140" t="s">
        <v>330</v>
      </c>
      <c r="C40" s="64">
        <f>C228</f>
        <v>799210</v>
      </c>
      <c r="D40" s="64">
        <f>-D493-D494-D495-D496</f>
        <v>13584.549999999974</v>
      </c>
      <c r="E40" s="64">
        <f>-E493-E494-E495-E496</f>
        <v>1218951</v>
      </c>
      <c r="F40" s="64">
        <f>-SUM(F493:F496)</f>
        <v>431810</v>
      </c>
      <c r="G40" s="64">
        <f>E40+F40</f>
        <v>1650761</v>
      </c>
      <c r="H40" s="43"/>
      <c r="I40" s="9"/>
      <c r="J40" s="38"/>
    </row>
    <row r="41" spans="1:10" s="374" customFormat="1" ht="14.1" customHeight="1" thickBot="1">
      <c r="A41" s="374">
        <f t="shared" si="3"/>
        <v>35</v>
      </c>
      <c r="B41" s="4" t="s">
        <v>41</v>
      </c>
      <c r="C41" s="141">
        <f>C40+C39</f>
        <v>85033742.407999873</v>
      </c>
      <c r="D41" s="141">
        <f>D40+D39</f>
        <v>-520377.76815784845</v>
      </c>
      <c r="E41" s="141">
        <f>E39+E40</f>
        <v>85987445.526157916</v>
      </c>
      <c r="F41" s="141">
        <f>F39+F40</f>
        <v>-28098836.869999997</v>
      </c>
      <c r="G41" s="141">
        <f>SUM(G39:G40)</f>
        <v>57888608.656157732</v>
      </c>
      <c r="H41" s="43"/>
      <c r="I41" s="246"/>
      <c r="J41" s="38"/>
    </row>
    <row r="42" spans="1:10" s="374" customFormat="1" ht="14.1" customHeight="1" thickTop="1">
      <c r="A42" s="374">
        <f t="shared" si="3"/>
        <v>36</v>
      </c>
      <c r="B42" s="117"/>
      <c r="C42" s="43"/>
      <c r="D42" s="43"/>
      <c r="E42" s="43"/>
      <c r="F42" s="43"/>
      <c r="G42" s="133"/>
      <c r="H42" s="43"/>
      <c r="I42" s="373"/>
      <c r="J42" s="38"/>
    </row>
    <row r="43" spans="1:10" ht="14.1" customHeight="1">
      <c r="A43" s="374">
        <f t="shared" si="3"/>
        <v>37</v>
      </c>
      <c r="B43" s="89" t="s">
        <v>42</v>
      </c>
      <c r="C43" s="43">
        <f>C171</f>
        <v>2606538289.5999999</v>
      </c>
      <c r="D43" s="43">
        <f t="shared" ref="D43:G43" si="23">D171</f>
        <v>39695140.900000021</v>
      </c>
      <c r="E43" s="43">
        <f>E171</f>
        <v>2561231054.8400002</v>
      </c>
      <c r="F43" s="43">
        <f t="shared" si="23"/>
        <v>-323154089</v>
      </c>
      <c r="G43" s="43">
        <f t="shared" si="23"/>
        <v>2238076965.8400002</v>
      </c>
      <c r="H43" s="43"/>
      <c r="I43" s="22"/>
      <c r="J43" s="10"/>
    </row>
    <row r="44" spans="1:10" ht="14.1" customHeight="1">
      <c r="A44" s="374">
        <f t="shared" si="3"/>
        <v>38</v>
      </c>
      <c r="B44" s="56" t="s">
        <v>43</v>
      </c>
      <c r="C44" s="64">
        <f>-C188-C196-C199</f>
        <v>-873474729.34000003</v>
      </c>
      <c r="D44" s="64">
        <f>-D188-D196-D199</f>
        <v>-15670069.34</v>
      </c>
      <c r="E44" s="64">
        <f>-E188-E196-E199</f>
        <v>-857804660</v>
      </c>
      <c r="F44" s="64">
        <f>-F188-F196</f>
        <v>93260268</v>
      </c>
      <c r="G44" s="64">
        <f>-G188-G196</f>
        <v>-764544392</v>
      </c>
      <c r="H44" s="43"/>
      <c r="I44" s="22"/>
      <c r="J44" s="38"/>
    </row>
    <row r="45" spans="1:10" ht="14.1" customHeight="1">
      <c r="A45" s="374">
        <f t="shared" si="3"/>
        <v>39</v>
      </c>
      <c r="B45" s="13" t="s">
        <v>477</v>
      </c>
      <c r="C45" s="43">
        <f>SUM(C43:C44)</f>
        <v>1733063560.2599998</v>
      </c>
      <c r="D45" s="43">
        <f t="shared" ref="D45:G45" si="24">SUM(D43:D44)</f>
        <v>24025071.560000021</v>
      </c>
      <c r="E45" s="43">
        <f>SUM(E43:E44)</f>
        <v>1703426394.8400002</v>
      </c>
      <c r="F45" s="43">
        <f>SUM(F43:F44)</f>
        <v>-229893821</v>
      </c>
      <c r="G45" s="43">
        <f t="shared" si="24"/>
        <v>1473532573.8400002</v>
      </c>
      <c r="H45" s="98"/>
      <c r="I45" s="22"/>
      <c r="J45" s="38"/>
    </row>
    <row r="46" spans="1:10" ht="14.1" customHeight="1">
      <c r="A46" s="374">
        <f t="shared" si="3"/>
        <v>40</v>
      </c>
      <c r="B46" s="89" t="s">
        <v>45</v>
      </c>
      <c r="C46" s="43">
        <f t="shared" ref="C46:F46" si="25">C236</f>
        <v>6303503.75</v>
      </c>
      <c r="D46" s="43">
        <f t="shared" si="25"/>
        <v>5676527.75</v>
      </c>
      <c r="E46" s="43">
        <f t="shared" si="25"/>
        <v>626976</v>
      </c>
      <c r="F46" s="43">
        <f t="shared" si="25"/>
        <v>0</v>
      </c>
      <c r="G46" s="43">
        <f>E46+F46</f>
        <v>626976</v>
      </c>
      <c r="H46" s="43"/>
      <c r="I46" s="65"/>
      <c r="J46" s="38"/>
    </row>
    <row r="47" spans="1:10" ht="14.1" customHeight="1">
      <c r="A47" s="374">
        <f t="shared" si="3"/>
        <v>41</v>
      </c>
      <c r="B47" s="89" t="s">
        <v>373</v>
      </c>
      <c r="C47" s="43">
        <f t="shared" ref="C47:F47" si="26">C247+C248</f>
        <v>50665704.869999997</v>
      </c>
      <c r="D47" s="43">
        <f t="shared" si="26"/>
        <v>759985.86999999755</v>
      </c>
      <c r="E47" s="43">
        <f t="shared" si="26"/>
        <v>49905719</v>
      </c>
      <c r="F47" s="43">
        <f t="shared" si="26"/>
        <v>0</v>
      </c>
      <c r="G47" s="43">
        <f>E47+F47</f>
        <v>49905719</v>
      </c>
      <c r="H47" s="43"/>
      <c r="I47" s="22"/>
      <c r="J47" s="38"/>
    </row>
    <row r="48" spans="1:10" ht="14.1" customHeight="1">
      <c r="A48" s="374">
        <f t="shared" si="3"/>
        <v>42</v>
      </c>
      <c r="B48" s="89" t="s">
        <v>374</v>
      </c>
      <c r="C48" s="43">
        <f t="shared" ref="C48:F48" si="27">C244</f>
        <v>45282868.909999996</v>
      </c>
      <c r="D48" s="43">
        <f t="shared" si="27"/>
        <v>618990.91000000015</v>
      </c>
      <c r="E48" s="43">
        <f t="shared" si="27"/>
        <v>44663878</v>
      </c>
      <c r="F48" s="43">
        <f t="shared" si="27"/>
        <v>-8319303</v>
      </c>
      <c r="G48" s="43">
        <f>E48+F48</f>
        <v>36344575</v>
      </c>
      <c r="H48" s="43"/>
      <c r="I48" s="22"/>
      <c r="J48" s="38"/>
    </row>
    <row r="49" spans="1:10" ht="14.1" customHeight="1">
      <c r="A49" s="374">
        <f t="shared" si="3"/>
        <v>43</v>
      </c>
      <c r="B49" s="89" t="s">
        <v>375</v>
      </c>
      <c r="C49" s="43">
        <f t="shared" ref="C49:F49" si="28">C450</f>
        <v>21366873.358999997</v>
      </c>
      <c r="D49" s="43">
        <f t="shared" si="28"/>
        <v>148187.10104472883</v>
      </c>
      <c r="E49" s="43">
        <f t="shared" si="28"/>
        <v>21218686.257955272</v>
      </c>
      <c r="F49" s="43">
        <f t="shared" si="28"/>
        <v>-3902427.8275000001</v>
      </c>
      <c r="G49" s="43">
        <f>E49+F49</f>
        <v>17316258.430455271</v>
      </c>
      <c r="H49" s="43"/>
      <c r="I49" s="22"/>
      <c r="J49" s="38"/>
    </row>
    <row r="50" spans="1:10" ht="14.1" customHeight="1">
      <c r="A50" s="374">
        <f t="shared" si="3"/>
        <v>44</v>
      </c>
      <c r="B50" s="89" t="s">
        <v>44</v>
      </c>
      <c r="C50" s="43">
        <f>C229</f>
        <v>27165803</v>
      </c>
      <c r="D50" s="43">
        <f t="shared" ref="D50:G50" si="29">D229</f>
        <v>1220900</v>
      </c>
      <c r="E50" s="43">
        <f t="shared" si="29"/>
        <v>25944903</v>
      </c>
      <c r="F50" s="43">
        <f t="shared" si="29"/>
        <v>0</v>
      </c>
      <c r="G50" s="43">
        <f t="shared" si="29"/>
        <v>25944903</v>
      </c>
      <c r="H50" s="43"/>
      <c r="I50" s="22"/>
      <c r="J50" s="38"/>
    </row>
    <row r="51" spans="1:10" ht="14.1" customHeight="1">
      <c r="A51" s="374">
        <f t="shared" si="3"/>
        <v>45</v>
      </c>
      <c r="B51" s="89" t="s">
        <v>377</v>
      </c>
      <c r="C51" s="43">
        <f>(C256+C257)</f>
        <v>-27076876.120000001</v>
      </c>
      <c r="D51" s="43">
        <f>(D256+D257)</f>
        <v>-0.12000000133411959</v>
      </c>
      <c r="E51" s="43">
        <f>(E256+E257)</f>
        <v>-27076876</v>
      </c>
      <c r="F51" s="43">
        <f>(F256+F257)*-1</f>
        <v>0</v>
      </c>
      <c r="G51" s="43">
        <f>E51+F51</f>
        <v>-27076876</v>
      </c>
      <c r="H51" s="43"/>
      <c r="I51" s="22"/>
      <c r="J51" s="38"/>
    </row>
    <row r="52" spans="1:10" ht="14.1" customHeight="1">
      <c r="A52" s="374">
        <f t="shared" si="3"/>
        <v>46</v>
      </c>
      <c r="B52" s="56" t="s">
        <v>46</v>
      </c>
      <c r="C52" s="64">
        <f t="shared" ref="C52:E52" si="30">C253</f>
        <v>-502756787</v>
      </c>
      <c r="D52" s="64">
        <f t="shared" si="30"/>
        <v>-7541352</v>
      </c>
      <c r="E52" s="64">
        <f t="shared" si="30"/>
        <v>-495215435</v>
      </c>
      <c r="F52" s="64">
        <f>F253</f>
        <v>111131327</v>
      </c>
      <c r="G52" s="64">
        <f>E52+F52</f>
        <v>-384084108</v>
      </c>
      <c r="H52" s="43"/>
      <c r="I52" s="142"/>
      <c r="J52" s="38"/>
    </row>
    <row r="53" spans="1:10" s="18" customFormat="1" ht="14.1" customHeight="1" thickBot="1">
      <c r="A53" s="374">
        <f t="shared" si="3"/>
        <v>47</v>
      </c>
      <c r="B53" s="5" t="s">
        <v>47</v>
      </c>
      <c r="C53" s="143">
        <f>SUM(C45:C52)</f>
        <v>1354014651.0289998</v>
      </c>
      <c r="D53" s="143">
        <f t="shared" ref="D53" si="31">SUM(D45:D52)</f>
        <v>24908311.071044747</v>
      </c>
      <c r="E53" s="143">
        <f>SUM(E45:E52)</f>
        <v>1323494246.0979555</v>
      </c>
      <c r="F53" s="143">
        <f>SUM(F45:F52)</f>
        <v>-130984224.82749999</v>
      </c>
      <c r="G53" s="143">
        <f>SUM(G45:G52)</f>
        <v>1192510021.2704554</v>
      </c>
      <c r="H53" s="16"/>
      <c r="I53" s="144" t="s">
        <v>48</v>
      </c>
      <c r="J53" s="38"/>
    </row>
    <row r="54" spans="1:10" s="18" customFormat="1" ht="14.1" customHeight="1" thickTop="1">
      <c r="A54" s="374">
        <f t="shared" si="3"/>
        <v>48</v>
      </c>
      <c r="B54" s="6"/>
      <c r="C54" s="16"/>
      <c r="D54" s="16"/>
      <c r="E54" s="16"/>
      <c r="F54" s="16"/>
      <c r="G54" s="16"/>
      <c r="H54" s="16"/>
      <c r="I54" s="139"/>
      <c r="J54" s="38"/>
    </row>
    <row r="55" spans="1:10" s="18" customFormat="1" ht="14.1" customHeight="1">
      <c r="A55" s="374">
        <f t="shared" si="3"/>
        <v>49</v>
      </c>
      <c r="B55" s="2" t="s">
        <v>49</v>
      </c>
      <c r="C55" s="145">
        <f>C41/C53</f>
        <v>6.2801198157920554E-2</v>
      </c>
      <c r="D55" s="146">
        <f>+D41/D53</f>
        <v>-2.0891732348837327E-2</v>
      </c>
      <c r="E55" s="145">
        <f>+E41/E53</f>
        <v>6.4970018403686922E-2</v>
      </c>
      <c r="F55" s="146"/>
      <c r="G55" s="145">
        <f>+G41/G53</f>
        <v>4.85434986906738E-2</v>
      </c>
      <c r="H55" s="147"/>
      <c r="I55" s="139"/>
      <c r="J55" s="38"/>
    </row>
    <row r="56" spans="1:10" s="18" customFormat="1" ht="14.1" customHeight="1">
      <c r="A56" s="374">
        <f t="shared" si="3"/>
        <v>50</v>
      </c>
      <c r="B56" s="6"/>
      <c r="C56" s="148"/>
      <c r="D56" s="148"/>
      <c r="E56" s="147"/>
      <c r="F56" s="147"/>
      <c r="G56" s="147"/>
      <c r="H56" s="139"/>
      <c r="I56" s="149"/>
      <c r="J56" s="38"/>
    </row>
    <row r="57" spans="1:10" ht="13.5" customHeight="1">
      <c r="A57" s="374">
        <f t="shared" si="3"/>
        <v>51</v>
      </c>
      <c r="C57" s="10"/>
      <c r="D57" s="102"/>
      <c r="E57" s="102"/>
      <c r="F57" s="102"/>
      <c r="G57" s="147"/>
      <c r="I57" s="22"/>
      <c r="J57" s="38"/>
    </row>
    <row r="58" spans="1:10" s="21" customFormat="1" ht="14.1" customHeight="1">
      <c r="A58" s="374">
        <f t="shared" si="3"/>
        <v>52</v>
      </c>
      <c r="B58" s="53" t="s">
        <v>50</v>
      </c>
      <c r="C58" s="10"/>
      <c r="D58" s="19"/>
      <c r="E58" s="19"/>
      <c r="F58" s="19"/>
      <c r="G58" s="150"/>
      <c r="J58" s="38"/>
    </row>
    <row r="59" spans="1:10" ht="14.1" customHeight="1">
      <c r="A59" s="374">
        <f t="shared" si="3"/>
        <v>53</v>
      </c>
      <c r="B59" s="8" t="s">
        <v>51</v>
      </c>
      <c r="C59" s="10"/>
      <c r="D59" s="19"/>
      <c r="E59" s="10"/>
      <c r="F59" s="10"/>
      <c r="G59" s="38"/>
      <c r="I59" s="89"/>
      <c r="J59" s="38"/>
    </row>
    <row r="60" spans="1:10" ht="14.1" customHeight="1">
      <c r="A60" s="374">
        <f t="shared" si="3"/>
        <v>54</v>
      </c>
      <c r="B60" s="89" t="s">
        <v>52</v>
      </c>
      <c r="C60" s="10">
        <v>19586694.539999999</v>
      </c>
      <c r="D60" s="10">
        <f>C60-E60</f>
        <v>293800.53999999911</v>
      </c>
      <c r="E60" s="10">
        <f>ROUND(C60*'Allocation Factors'!$G$22,0)</f>
        <v>19292894</v>
      </c>
      <c r="F60" s="10">
        <f>'Sch 5'!C60</f>
        <v>0</v>
      </c>
      <c r="G60" s="10">
        <f>E60+F60</f>
        <v>19292894</v>
      </c>
      <c r="H60" s="10"/>
      <c r="I60" s="15" t="s">
        <v>352</v>
      </c>
      <c r="J60" s="38"/>
    </row>
    <row r="61" spans="1:10" ht="14.1" customHeight="1">
      <c r="A61" s="374">
        <f t="shared" si="3"/>
        <v>55</v>
      </c>
      <c r="B61" s="56" t="s">
        <v>53</v>
      </c>
      <c r="C61" s="10">
        <v>0</v>
      </c>
      <c r="D61" s="10">
        <f>C61-E61</f>
        <v>0</v>
      </c>
      <c r="E61" s="10">
        <f>ROUND(C61*'Allocation Factors'!$G$22,0)</f>
        <v>0</v>
      </c>
      <c r="F61" s="10">
        <f>'Sch 5'!C61</f>
        <v>0</v>
      </c>
      <c r="G61" s="10">
        <f>E61+F61</f>
        <v>0</v>
      </c>
      <c r="H61" s="10"/>
      <c r="I61" s="15" t="s">
        <v>352</v>
      </c>
      <c r="J61" s="38"/>
    </row>
    <row r="62" spans="1:10" ht="14.1" customHeight="1">
      <c r="A62" s="374">
        <f t="shared" si="3"/>
        <v>56</v>
      </c>
      <c r="B62" s="3" t="s">
        <v>478</v>
      </c>
      <c r="C62" s="47">
        <f t="shared" ref="C62:G62" si="32">SUM(C60:C61)</f>
        <v>19586694.539999999</v>
      </c>
      <c r="D62" s="47">
        <f t="shared" si="32"/>
        <v>293800.53999999911</v>
      </c>
      <c r="E62" s="47">
        <f t="shared" si="32"/>
        <v>19292894</v>
      </c>
      <c r="F62" s="47">
        <f t="shared" si="32"/>
        <v>0</v>
      </c>
      <c r="G62" s="47">
        <f t="shared" si="32"/>
        <v>19292894</v>
      </c>
      <c r="H62" s="47"/>
      <c r="I62" s="151"/>
      <c r="J62" s="38"/>
    </row>
    <row r="63" spans="1:10" ht="14.1" customHeight="1">
      <c r="A63" s="374">
        <f t="shared" si="3"/>
        <v>57</v>
      </c>
      <c r="C63" s="9"/>
      <c r="D63" s="43"/>
      <c r="E63" s="48"/>
      <c r="F63" s="43"/>
      <c r="G63" s="43"/>
      <c r="H63" s="43"/>
      <c r="I63" s="15"/>
      <c r="J63" s="38"/>
    </row>
    <row r="64" spans="1:10" ht="14.1" customHeight="1">
      <c r="A64" s="374">
        <f t="shared" si="3"/>
        <v>58</v>
      </c>
      <c r="B64" s="3" t="s">
        <v>56</v>
      </c>
      <c r="C64" s="10"/>
      <c r="D64" s="19"/>
      <c r="E64" s="10"/>
      <c r="F64" s="10"/>
      <c r="G64" s="10"/>
      <c r="H64" s="10"/>
      <c r="I64" s="15"/>
      <c r="J64" s="38"/>
    </row>
    <row r="65" spans="1:10" ht="14.1" customHeight="1">
      <c r="A65" s="374">
        <f t="shared" si="3"/>
        <v>59</v>
      </c>
      <c r="B65" s="3" t="s">
        <v>57</v>
      </c>
      <c r="C65" s="10"/>
      <c r="D65" s="19"/>
      <c r="E65" s="10"/>
      <c r="F65" s="10"/>
      <c r="G65" s="10"/>
      <c r="H65" s="10"/>
      <c r="I65" s="15"/>
      <c r="J65" s="38"/>
    </row>
    <row r="66" spans="1:10" ht="14.1" customHeight="1">
      <c r="A66" s="374">
        <f t="shared" si="3"/>
        <v>60</v>
      </c>
      <c r="B66" s="89" t="s">
        <v>58</v>
      </c>
      <c r="C66" s="10">
        <v>4857884.33</v>
      </c>
      <c r="D66" s="10">
        <f t="shared" ref="D66:D73" si="33">C66-E66</f>
        <v>72868.330000000075</v>
      </c>
      <c r="E66" s="10">
        <f>ROUND(C66*'Allocation Factors'!$G$10,0)</f>
        <v>4785016</v>
      </c>
      <c r="F66" s="10">
        <f>'Sch 5'!C66</f>
        <v>0</v>
      </c>
      <c r="G66" s="10">
        <f t="shared" ref="G66:G73" si="34">E66+F66</f>
        <v>4785016</v>
      </c>
      <c r="H66" s="10"/>
      <c r="I66" s="15" t="s">
        <v>341</v>
      </c>
      <c r="J66" s="38"/>
    </row>
    <row r="67" spans="1:10" ht="14.1" customHeight="1">
      <c r="A67" s="374">
        <f t="shared" si="3"/>
        <v>61</v>
      </c>
      <c r="B67" s="89" t="s">
        <v>60</v>
      </c>
      <c r="C67" s="10">
        <v>63824835.369999997</v>
      </c>
      <c r="D67" s="10">
        <f t="shared" si="33"/>
        <v>957372.36999999732</v>
      </c>
      <c r="E67" s="10">
        <f>ROUND(C67*'Allocation Factors'!$G$10,0)</f>
        <v>62867463</v>
      </c>
      <c r="F67" s="10">
        <f>'Sch 5'!C67</f>
        <v>0</v>
      </c>
      <c r="G67" s="10">
        <f t="shared" si="34"/>
        <v>62867463</v>
      </c>
      <c r="H67" s="10"/>
      <c r="I67" s="15" t="s">
        <v>341</v>
      </c>
      <c r="J67" s="38"/>
    </row>
    <row r="68" spans="1:10" ht="14.1" customHeight="1">
      <c r="A68" s="374">
        <f t="shared" si="3"/>
        <v>62</v>
      </c>
      <c r="B68" s="89" t="s">
        <v>61</v>
      </c>
      <c r="C68" s="10">
        <v>935905994.48000002</v>
      </c>
      <c r="D68" s="10">
        <f t="shared" si="33"/>
        <v>14038589.480000019</v>
      </c>
      <c r="E68" s="10">
        <f>ROUND(C68*'Allocation Factors'!$G$10,0)</f>
        <v>921867405</v>
      </c>
      <c r="F68" s="10">
        <f>'Sch 5'!C68</f>
        <v>-323154089</v>
      </c>
      <c r="G68" s="10">
        <f t="shared" si="34"/>
        <v>598713316</v>
      </c>
      <c r="H68" s="10"/>
      <c r="I68" s="15" t="s">
        <v>341</v>
      </c>
      <c r="J68" s="38"/>
    </row>
    <row r="69" spans="1:10" ht="14.1" customHeight="1">
      <c r="A69" s="374">
        <f t="shared" si="3"/>
        <v>63</v>
      </c>
      <c r="B69" s="89" t="s">
        <v>62</v>
      </c>
      <c r="C69" s="10">
        <v>0</v>
      </c>
      <c r="D69" s="10">
        <f t="shared" si="33"/>
        <v>0</v>
      </c>
      <c r="E69" s="10">
        <f>ROUND(C69*'Allocation Factors'!$G$10,0)</f>
        <v>0</v>
      </c>
      <c r="F69" s="10">
        <f>'Sch 5'!C69</f>
        <v>0</v>
      </c>
      <c r="G69" s="10">
        <f t="shared" si="34"/>
        <v>0</v>
      </c>
      <c r="H69" s="10"/>
      <c r="I69" s="15" t="s">
        <v>341</v>
      </c>
      <c r="J69" s="38"/>
    </row>
    <row r="70" spans="1:10" ht="14.1" customHeight="1">
      <c r="A70" s="374">
        <f t="shared" si="3"/>
        <v>64</v>
      </c>
      <c r="B70" s="89" t="s">
        <v>63</v>
      </c>
      <c r="C70" s="10">
        <v>115351524.93000001</v>
      </c>
      <c r="D70" s="10">
        <f t="shared" si="33"/>
        <v>1730272.9300000072</v>
      </c>
      <c r="E70" s="10">
        <f>ROUND(C70*'Allocation Factors'!$G$10,0)</f>
        <v>113621252</v>
      </c>
      <c r="F70" s="10">
        <f>'Sch 5'!C70</f>
        <v>0</v>
      </c>
      <c r="G70" s="10">
        <f t="shared" si="34"/>
        <v>113621252</v>
      </c>
      <c r="H70" s="10"/>
      <c r="I70" s="15" t="s">
        <v>341</v>
      </c>
      <c r="J70" s="38"/>
    </row>
    <row r="71" spans="1:10" ht="14.1" customHeight="1">
      <c r="A71" s="374">
        <f t="shared" si="3"/>
        <v>65</v>
      </c>
      <c r="B71" s="89" t="s">
        <v>64</v>
      </c>
      <c r="C71" s="10">
        <v>28911068.539999999</v>
      </c>
      <c r="D71" s="10">
        <f t="shared" si="33"/>
        <v>433665.53999999911</v>
      </c>
      <c r="E71" s="10">
        <f>ROUND(C71*'Allocation Factors'!$G$10,0)</f>
        <v>28477403</v>
      </c>
      <c r="F71" s="10">
        <f>'Sch 5'!C71</f>
        <v>0</v>
      </c>
      <c r="G71" s="10">
        <f t="shared" si="34"/>
        <v>28477403</v>
      </c>
      <c r="H71" s="10"/>
      <c r="I71" s="15" t="s">
        <v>341</v>
      </c>
      <c r="J71" s="38"/>
    </row>
    <row r="72" spans="1:10" ht="14.1" customHeight="1">
      <c r="A72" s="374">
        <f t="shared" si="3"/>
        <v>66</v>
      </c>
      <c r="B72" s="89" t="s">
        <v>65</v>
      </c>
      <c r="C72" s="10">
        <v>11394244</v>
      </c>
      <c r="D72" s="10">
        <f t="shared" si="33"/>
        <v>170914</v>
      </c>
      <c r="E72" s="10">
        <f>ROUND(C72*'Allocation Factors'!$G$10,0)</f>
        <v>11223330</v>
      </c>
      <c r="F72" s="10">
        <f>'Sch 5'!C72</f>
        <v>0</v>
      </c>
      <c r="G72" s="10">
        <f t="shared" si="34"/>
        <v>11223330</v>
      </c>
      <c r="H72" s="10"/>
      <c r="I72" s="15" t="s">
        <v>341</v>
      </c>
      <c r="J72" s="38"/>
    </row>
    <row r="73" spans="1:10" ht="14.1" customHeight="1">
      <c r="A73" s="374">
        <f t="shared" si="3"/>
        <v>67</v>
      </c>
      <c r="B73" s="56" t="s">
        <v>66</v>
      </c>
      <c r="C73" s="10">
        <v>11624651.58</v>
      </c>
      <c r="D73" s="10">
        <f t="shared" si="33"/>
        <v>11624651.58</v>
      </c>
      <c r="E73" s="10">
        <v>0</v>
      </c>
      <c r="F73" s="10">
        <f>'Sch 5'!C73</f>
        <v>0</v>
      </c>
      <c r="G73" s="10">
        <f t="shared" si="34"/>
        <v>0</v>
      </c>
      <c r="H73" s="10"/>
      <c r="I73" s="15"/>
      <c r="J73" s="38"/>
    </row>
    <row r="74" spans="1:10" s="18" customFormat="1" ht="14.1" customHeight="1">
      <c r="A74" s="374">
        <f t="shared" si="3"/>
        <v>68</v>
      </c>
      <c r="B74" s="2" t="s">
        <v>479</v>
      </c>
      <c r="C74" s="86">
        <f>SUM(C66:C73)</f>
        <v>1171870203.23</v>
      </c>
      <c r="D74" s="86">
        <f t="shared" ref="D74:G74" si="35">SUM(D66:D73)</f>
        <v>29028334.230000019</v>
      </c>
      <c r="E74" s="86">
        <f t="shared" si="35"/>
        <v>1142841869</v>
      </c>
      <c r="F74" s="86">
        <f t="shared" si="35"/>
        <v>-323154089</v>
      </c>
      <c r="G74" s="86">
        <f t="shared" si="35"/>
        <v>819687780</v>
      </c>
      <c r="H74" s="86"/>
      <c r="I74" s="152"/>
      <c r="J74" s="38"/>
    </row>
    <row r="75" spans="1:10" s="18" customFormat="1" ht="14.1" customHeight="1">
      <c r="A75" s="374">
        <f t="shared" ref="A75:A140" si="36">+A74+1</f>
        <v>69</v>
      </c>
      <c r="B75" s="6"/>
      <c r="C75" s="12"/>
      <c r="D75" s="16"/>
      <c r="E75" s="135"/>
      <c r="F75" s="16"/>
      <c r="G75" s="16"/>
      <c r="H75" s="16"/>
      <c r="I75" s="25"/>
      <c r="J75" s="38"/>
    </row>
    <row r="76" spans="1:10" ht="14.1" customHeight="1">
      <c r="A76" s="374">
        <f t="shared" si="36"/>
        <v>70</v>
      </c>
      <c r="B76" s="3" t="s">
        <v>67</v>
      </c>
      <c r="C76" s="10"/>
      <c r="D76" s="10"/>
      <c r="E76" s="10"/>
      <c r="F76" s="10"/>
      <c r="G76" s="10"/>
      <c r="H76" s="10"/>
      <c r="I76" s="15"/>
      <c r="J76" s="38"/>
    </row>
    <row r="77" spans="1:10" ht="14.1" customHeight="1">
      <c r="A77" s="374">
        <f t="shared" si="36"/>
        <v>71</v>
      </c>
      <c r="B77" s="89" t="s">
        <v>68</v>
      </c>
      <c r="C77" s="10">
        <v>0</v>
      </c>
      <c r="D77" s="19">
        <v>0</v>
      </c>
      <c r="E77" s="10">
        <v>0</v>
      </c>
      <c r="F77" s="10">
        <f>'Sch 5'!C77</f>
        <v>0</v>
      </c>
      <c r="G77" s="10">
        <f t="shared" ref="G77:G82" si="37">E77+F77</f>
        <v>0</v>
      </c>
      <c r="H77" s="10"/>
      <c r="I77" s="15"/>
      <c r="J77" s="38"/>
    </row>
    <row r="78" spans="1:10" ht="14.1" customHeight="1">
      <c r="A78" s="374">
        <f t="shared" si="36"/>
        <v>72</v>
      </c>
      <c r="B78" s="89" t="s">
        <v>69</v>
      </c>
      <c r="C78" s="10">
        <v>0</v>
      </c>
      <c r="D78" s="19">
        <v>0</v>
      </c>
      <c r="E78" s="10">
        <v>0</v>
      </c>
      <c r="F78" s="10">
        <f>'Sch 5'!C78</f>
        <v>0</v>
      </c>
      <c r="G78" s="10">
        <f t="shared" si="37"/>
        <v>0</v>
      </c>
      <c r="H78" s="10"/>
      <c r="I78" s="15"/>
      <c r="J78" s="38"/>
    </row>
    <row r="79" spans="1:10" ht="14.1" customHeight="1">
      <c r="A79" s="374">
        <f t="shared" si="36"/>
        <v>73</v>
      </c>
      <c r="B79" s="89" t="s">
        <v>70</v>
      </c>
      <c r="C79" s="10">
        <v>0</v>
      </c>
      <c r="D79" s="19">
        <v>0</v>
      </c>
      <c r="E79" s="10">
        <v>0</v>
      </c>
      <c r="F79" s="10">
        <f>'Sch 5'!C79</f>
        <v>0</v>
      </c>
      <c r="G79" s="10">
        <f t="shared" si="37"/>
        <v>0</v>
      </c>
      <c r="H79" s="10"/>
      <c r="I79" s="15"/>
      <c r="J79" s="38"/>
    </row>
    <row r="80" spans="1:10" ht="14.1" customHeight="1">
      <c r="A80" s="374">
        <f t="shared" si="36"/>
        <v>74</v>
      </c>
      <c r="B80" s="89" t="s">
        <v>71</v>
      </c>
      <c r="C80" s="10">
        <v>0</v>
      </c>
      <c r="D80" s="19">
        <v>0</v>
      </c>
      <c r="E80" s="10">
        <v>0</v>
      </c>
      <c r="F80" s="10">
        <f>'Sch 5'!C80</f>
        <v>0</v>
      </c>
      <c r="G80" s="10">
        <f t="shared" si="37"/>
        <v>0</v>
      </c>
      <c r="H80" s="10"/>
      <c r="I80" s="15"/>
      <c r="J80" s="38"/>
    </row>
    <row r="81" spans="1:10" ht="14.1" customHeight="1">
      <c r="A81" s="374">
        <f t="shared" si="36"/>
        <v>75</v>
      </c>
      <c r="B81" s="89" t="s">
        <v>72</v>
      </c>
      <c r="C81" s="10">
        <v>0</v>
      </c>
      <c r="D81" s="19">
        <v>0</v>
      </c>
      <c r="E81" s="10">
        <v>0</v>
      </c>
      <c r="F81" s="10">
        <f>'Sch 5'!C81</f>
        <v>0</v>
      </c>
      <c r="G81" s="10">
        <f t="shared" si="37"/>
        <v>0</v>
      </c>
      <c r="H81" s="10"/>
      <c r="I81" s="15"/>
      <c r="J81" s="38"/>
    </row>
    <row r="82" spans="1:10" ht="14.1" customHeight="1">
      <c r="A82" s="374">
        <f t="shared" si="36"/>
        <v>76</v>
      </c>
      <c r="B82" s="56" t="s">
        <v>73</v>
      </c>
      <c r="C82" s="10">
        <v>0</v>
      </c>
      <c r="D82" s="19">
        <v>0</v>
      </c>
      <c r="E82" s="10">
        <v>0</v>
      </c>
      <c r="F82" s="10">
        <f>'Sch 5'!C82</f>
        <v>0</v>
      </c>
      <c r="G82" s="10">
        <f t="shared" si="37"/>
        <v>0</v>
      </c>
      <c r="H82" s="10"/>
      <c r="I82" s="15"/>
      <c r="J82" s="38"/>
    </row>
    <row r="83" spans="1:10" s="18" customFormat="1" ht="14.1" customHeight="1">
      <c r="A83" s="374">
        <f t="shared" si="36"/>
        <v>77</v>
      </c>
      <c r="B83" s="2" t="s">
        <v>480</v>
      </c>
      <c r="C83" s="86">
        <f t="shared" ref="C83:G83" si="38">SUM(C77:C82)</f>
        <v>0</v>
      </c>
      <c r="D83" s="86">
        <f t="shared" si="38"/>
        <v>0</v>
      </c>
      <c r="E83" s="86">
        <f t="shared" si="38"/>
        <v>0</v>
      </c>
      <c r="F83" s="86">
        <f t="shared" si="38"/>
        <v>0</v>
      </c>
      <c r="G83" s="86">
        <f t="shared" si="38"/>
        <v>0</v>
      </c>
      <c r="H83" s="86"/>
      <c r="I83" s="153"/>
      <c r="J83" s="38"/>
    </row>
    <row r="84" spans="1:10" s="18" customFormat="1" ht="14.1" customHeight="1">
      <c r="A84" s="374">
        <f t="shared" si="36"/>
        <v>78</v>
      </c>
      <c r="B84" s="6"/>
      <c r="C84" s="16"/>
      <c r="D84" s="16"/>
      <c r="E84" s="16"/>
      <c r="F84" s="16"/>
      <c r="G84" s="16"/>
      <c r="H84" s="16"/>
      <c r="I84" s="25"/>
      <c r="J84" s="38"/>
    </row>
    <row r="85" spans="1:10" ht="14.1" customHeight="1">
      <c r="A85" s="374">
        <f t="shared" si="36"/>
        <v>79</v>
      </c>
      <c r="B85" s="3" t="s">
        <v>74</v>
      </c>
      <c r="C85" s="10"/>
      <c r="D85" s="10"/>
      <c r="E85" s="10"/>
      <c r="F85" s="10"/>
      <c r="G85" s="10"/>
      <c r="H85" s="10"/>
      <c r="I85" s="15"/>
      <c r="J85" s="38"/>
    </row>
    <row r="86" spans="1:10" ht="14.1" customHeight="1">
      <c r="A86" s="374">
        <f t="shared" si="36"/>
        <v>80</v>
      </c>
      <c r="B86" s="89" t="s">
        <v>75</v>
      </c>
      <c r="C86" s="10">
        <v>0</v>
      </c>
      <c r="D86" s="10">
        <v>0</v>
      </c>
      <c r="E86" s="10">
        <v>0</v>
      </c>
      <c r="F86" s="10">
        <f>'Sch 5'!C86</f>
        <v>0</v>
      </c>
      <c r="G86" s="10">
        <f t="shared" ref="G86:G93" si="39">E86+F86</f>
        <v>0</v>
      </c>
      <c r="H86" s="10"/>
      <c r="I86" s="15"/>
      <c r="J86" s="38"/>
    </row>
    <row r="87" spans="1:10" ht="14.1" customHeight="1">
      <c r="A87" s="374">
        <f t="shared" si="36"/>
        <v>81</v>
      </c>
      <c r="B87" s="89" t="s">
        <v>76</v>
      </c>
      <c r="C87" s="10">
        <v>0</v>
      </c>
      <c r="D87" s="10">
        <v>0</v>
      </c>
      <c r="E87" s="10">
        <v>0</v>
      </c>
      <c r="F87" s="10">
        <f>'Sch 5'!C87</f>
        <v>0</v>
      </c>
      <c r="G87" s="10">
        <f t="shared" si="39"/>
        <v>0</v>
      </c>
      <c r="H87" s="10"/>
      <c r="I87" s="15"/>
      <c r="J87" s="38"/>
    </row>
    <row r="88" spans="1:10" ht="14.1" customHeight="1">
      <c r="A88" s="374">
        <f t="shared" si="36"/>
        <v>82</v>
      </c>
      <c r="B88" s="89" t="s">
        <v>77</v>
      </c>
      <c r="C88" s="10">
        <v>0</v>
      </c>
      <c r="D88" s="10">
        <v>0</v>
      </c>
      <c r="E88" s="10">
        <v>0</v>
      </c>
      <c r="F88" s="10">
        <f>'Sch 5'!C88</f>
        <v>0</v>
      </c>
      <c r="G88" s="10">
        <f t="shared" si="39"/>
        <v>0</v>
      </c>
      <c r="H88" s="10"/>
      <c r="I88" s="15"/>
      <c r="J88" s="38"/>
    </row>
    <row r="89" spans="1:10" ht="14.1" customHeight="1">
      <c r="A89" s="374">
        <f t="shared" si="36"/>
        <v>83</v>
      </c>
      <c r="B89" s="89" t="s">
        <v>78</v>
      </c>
      <c r="C89" s="10">
        <v>0</v>
      </c>
      <c r="D89" s="10">
        <v>0</v>
      </c>
      <c r="E89" s="10">
        <v>0</v>
      </c>
      <c r="F89" s="10">
        <f>'Sch 5'!C89</f>
        <v>0</v>
      </c>
      <c r="G89" s="10">
        <f t="shared" si="39"/>
        <v>0</v>
      </c>
      <c r="H89" s="10"/>
      <c r="I89" s="15"/>
      <c r="J89" s="38"/>
    </row>
    <row r="90" spans="1:10" ht="14.1" customHeight="1">
      <c r="A90" s="374">
        <f t="shared" si="36"/>
        <v>84</v>
      </c>
      <c r="B90" s="89" t="s">
        <v>79</v>
      </c>
      <c r="C90" s="10">
        <v>0</v>
      </c>
      <c r="D90" s="10">
        <v>0</v>
      </c>
      <c r="E90" s="10">
        <v>0</v>
      </c>
      <c r="F90" s="10">
        <f>'Sch 5'!C90</f>
        <v>0</v>
      </c>
      <c r="G90" s="10">
        <f t="shared" si="39"/>
        <v>0</v>
      </c>
      <c r="H90" s="10"/>
      <c r="I90" s="15"/>
      <c r="J90" s="38"/>
    </row>
    <row r="91" spans="1:10" ht="14.1" customHeight="1">
      <c r="A91" s="374">
        <f t="shared" si="36"/>
        <v>85</v>
      </c>
      <c r="B91" s="89" t="s">
        <v>80</v>
      </c>
      <c r="C91" s="10">
        <v>0</v>
      </c>
      <c r="D91" s="10">
        <v>0</v>
      </c>
      <c r="E91" s="10">
        <v>0</v>
      </c>
      <c r="F91" s="10">
        <f>'Sch 5'!C91</f>
        <v>0</v>
      </c>
      <c r="G91" s="10">
        <f t="shared" si="39"/>
        <v>0</v>
      </c>
      <c r="H91" s="10"/>
      <c r="I91" s="15"/>
      <c r="J91" s="38"/>
    </row>
    <row r="92" spans="1:10" ht="14.1" customHeight="1">
      <c r="A92" s="374">
        <f t="shared" si="36"/>
        <v>86</v>
      </c>
      <c r="B92" s="89" t="s">
        <v>81</v>
      </c>
      <c r="C92" s="10">
        <v>0</v>
      </c>
      <c r="D92" s="10">
        <v>0</v>
      </c>
      <c r="E92" s="10">
        <v>0</v>
      </c>
      <c r="F92" s="10">
        <f>'Sch 5'!C92</f>
        <v>0</v>
      </c>
      <c r="G92" s="10">
        <f t="shared" si="39"/>
        <v>0</v>
      </c>
      <c r="H92" s="10"/>
      <c r="I92" s="15"/>
      <c r="J92" s="38"/>
    </row>
    <row r="93" spans="1:10" ht="13.5" customHeight="1">
      <c r="A93" s="374">
        <f t="shared" si="36"/>
        <v>87</v>
      </c>
      <c r="B93" s="56" t="s">
        <v>82</v>
      </c>
      <c r="C93" s="10">
        <v>0</v>
      </c>
      <c r="D93" s="10">
        <v>0</v>
      </c>
      <c r="E93" s="10">
        <v>0</v>
      </c>
      <c r="F93" s="10">
        <f>'Sch 5'!C93</f>
        <v>0</v>
      </c>
      <c r="G93" s="10">
        <f t="shared" si="39"/>
        <v>0</v>
      </c>
      <c r="H93" s="10"/>
      <c r="I93" s="15"/>
      <c r="J93" s="38"/>
    </row>
    <row r="94" spans="1:10" s="18" customFormat="1" ht="14.1" customHeight="1">
      <c r="A94" s="374">
        <f t="shared" si="36"/>
        <v>88</v>
      </c>
      <c r="B94" s="2" t="s">
        <v>481</v>
      </c>
      <c r="C94" s="86">
        <f t="shared" ref="C94:G94" si="40">SUM(C86:C93)</f>
        <v>0</v>
      </c>
      <c r="D94" s="86">
        <f t="shared" si="40"/>
        <v>0</v>
      </c>
      <c r="E94" s="86">
        <f t="shared" si="40"/>
        <v>0</v>
      </c>
      <c r="F94" s="86">
        <f t="shared" si="40"/>
        <v>0</v>
      </c>
      <c r="G94" s="86">
        <f t="shared" si="40"/>
        <v>0</v>
      </c>
      <c r="H94" s="86"/>
      <c r="I94" s="152"/>
      <c r="J94" s="38"/>
    </row>
    <row r="95" spans="1:10" s="18" customFormat="1" ht="14.1" customHeight="1">
      <c r="A95" s="374">
        <f t="shared" si="36"/>
        <v>89</v>
      </c>
      <c r="B95" s="6"/>
      <c r="C95" s="12"/>
      <c r="D95" s="16"/>
      <c r="E95" s="135"/>
      <c r="F95" s="16"/>
      <c r="G95" s="16"/>
      <c r="H95" s="16"/>
      <c r="I95" s="25"/>
      <c r="J95" s="38"/>
    </row>
    <row r="96" spans="1:10" ht="14.1" customHeight="1">
      <c r="A96" s="374">
        <f t="shared" si="36"/>
        <v>90</v>
      </c>
      <c r="B96" s="3" t="s">
        <v>83</v>
      </c>
      <c r="C96" s="43"/>
      <c r="D96" s="16"/>
      <c r="E96" s="43"/>
      <c r="F96" s="43"/>
      <c r="G96" s="43"/>
      <c r="H96" s="43"/>
      <c r="I96" s="15"/>
      <c r="J96" s="38"/>
    </row>
    <row r="97" spans="1:11" ht="14.1" customHeight="1">
      <c r="A97" s="374">
        <f t="shared" si="36"/>
        <v>91</v>
      </c>
      <c r="B97" s="89" t="s">
        <v>84</v>
      </c>
      <c r="C97" s="10">
        <v>0</v>
      </c>
      <c r="D97" s="10">
        <v>0</v>
      </c>
      <c r="E97" s="10">
        <v>0</v>
      </c>
      <c r="F97" s="10">
        <f>'Sch 5'!C97</f>
        <v>0</v>
      </c>
      <c r="G97" s="10">
        <f t="shared" ref="G97:G103" si="41">E97+F97</f>
        <v>0</v>
      </c>
      <c r="H97" s="10"/>
      <c r="I97" s="15"/>
      <c r="J97" s="38"/>
    </row>
    <row r="98" spans="1:11" ht="14.1" customHeight="1">
      <c r="A98" s="374">
        <f t="shared" si="36"/>
        <v>92</v>
      </c>
      <c r="B98" s="89" t="s">
        <v>85</v>
      </c>
      <c r="C98" s="10">
        <v>0</v>
      </c>
      <c r="D98" s="10">
        <v>0</v>
      </c>
      <c r="E98" s="10">
        <v>0</v>
      </c>
      <c r="F98" s="10">
        <f>'Sch 5'!C98</f>
        <v>0</v>
      </c>
      <c r="G98" s="10">
        <f t="shared" si="41"/>
        <v>0</v>
      </c>
      <c r="H98" s="10"/>
      <c r="I98" s="15"/>
      <c r="J98" s="38"/>
    </row>
    <row r="99" spans="1:11" ht="14.1" customHeight="1">
      <c r="A99" s="374">
        <f t="shared" si="36"/>
        <v>93</v>
      </c>
      <c r="B99" s="89" t="s">
        <v>86</v>
      </c>
      <c r="C99" s="10">
        <v>0</v>
      </c>
      <c r="D99" s="10">
        <v>0</v>
      </c>
      <c r="E99" s="10">
        <v>0</v>
      </c>
      <c r="F99" s="10">
        <f>'Sch 5'!C99</f>
        <v>0</v>
      </c>
      <c r="G99" s="10">
        <f t="shared" si="41"/>
        <v>0</v>
      </c>
      <c r="H99" s="10"/>
      <c r="I99" s="15"/>
      <c r="J99" s="38"/>
    </row>
    <row r="100" spans="1:11" ht="14.1" customHeight="1">
      <c r="A100" s="374">
        <f t="shared" si="36"/>
        <v>94</v>
      </c>
      <c r="B100" s="89" t="s">
        <v>87</v>
      </c>
      <c r="C100" s="10">
        <v>0</v>
      </c>
      <c r="D100" s="10">
        <v>0</v>
      </c>
      <c r="E100" s="10">
        <v>0</v>
      </c>
      <c r="F100" s="10">
        <f>'Sch 5'!C100</f>
        <v>0</v>
      </c>
      <c r="G100" s="10">
        <f t="shared" si="41"/>
        <v>0</v>
      </c>
      <c r="H100" s="10"/>
      <c r="I100" s="15"/>
      <c r="J100" s="38"/>
    </row>
    <row r="101" spans="1:11" ht="14.1" customHeight="1">
      <c r="A101" s="374">
        <f t="shared" si="36"/>
        <v>95</v>
      </c>
      <c r="B101" s="89" t="s">
        <v>88</v>
      </c>
      <c r="C101" s="10">
        <v>0</v>
      </c>
      <c r="D101" s="10">
        <v>0</v>
      </c>
      <c r="E101" s="10">
        <v>0</v>
      </c>
      <c r="F101" s="10">
        <f>'Sch 5'!C101</f>
        <v>0</v>
      </c>
      <c r="G101" s="10">
        <f t="shared" si="41"/>
        <v>0</v>
      </c>
      <c r="H101" s="10"/>
      <c r="I101" s="15"/>
      <c r="J101" s="38"/>
    </row>
    <row r="102" spans="1:11" ht="14.1" customHeight="1">
      <c r="A102" s="374">
        <f t="shared" si="36"/>
        <v>96</v>
      </c>
      <c r="B102" s="89" t="s">
        <v>89</v>
      </c>
      <c r="C102" s="10">
        <v>0</v>
      </c>
      <c r="D102" s="10">
        <v>0</v>
      </c>
      <c r="E102" s="10">
        <v>0</v>
      </c>
      <c r="F102" s="10">
        <f>'Sch 5'!C102</f>
        <v>0</v>
      </c>
      <c r="G102" s="10">
        <f t="shared" si="41"/>
        <v>0</v>
      </c>
      <c r="H102" s="10"/>
      <c r="I102" s="15"/>
      <c r="J102" s="38"/>
    </row>
    <row r="103" spans="1:11" ht="14.1" customHeight="1">
      <c r="A103" s="374">
        <f t="shared" si="36"/>
        <v>97</v>
      </c>
      <c r="B103" s="56" t="s">
        <v>90</v>
      </c>
      <c r="C103" s="64">
        <v>0</v>
      </c>
      <c r="D103" s="64">
        <v>0</v>
      </c>
      <c r="E103" s="64">
        <v>0</v>
      </c>
      <c r="F103" s="64">
        <f>'Sch 5'!C103</f>
        <v>0</v>
      </c>
      <c r="G103" s="64">
        <f t="shared" si="41"/>
        <v>0</v>
      </c>
      <c r="H103" s="10"/>
      <c r="I103" s="15"/>
      <c r="J103" s="38"/>
    </row>
    <row r="104" spans="1:11" s="18" customFormat="1" ht="14.1" customHeight="1">
      <c r="A104" s="374">
        <f t="shared" si="36"/>
        <v>98</v>
      </c>
      <c r="B104" s="2" t="s">
        <v>482</v>
      </c>
      <c r="C104" s="16">
        <f t="shared" ref="C104:F104" si="42">SUM(C96:C103)</f>
        <v>0</v>
      </c>
      <c r="D104" s="16">
        <f t="shared" si="42"/>
        <v>0</v>
      </c>
      <c r="E104" s="16">
        <f t="shared" si="42"/>
        <v>0</v>
      </c>
      <c r="F104" s="16">
        <f t="shared" si="42"/>
        <v>0</v>
      </c>
      <c r="G104" s="16">
        <f>SUM(G97:G103)</f>
        <v>0</v>
      </c>
      <c r="H104" s="16"/>
      <c r="I104" s="17"/>
      <c r="J104" s="38"/>
    </row>
    <row r="105" spans="1:11" s="18" customFormat="1" ht="14.1" customHeight="1">
      <c r="A105" s="374">
        <f t="shared" si="36"/>
        <v>99</v>
      </c>
      <c r="B105" s="2"/>
      <c r="C105" s="16"/>
      <c r="D105" s="16"/>
      <c r="E105" s="16"/>
      <c r="F105" s="16"/>
      <c r="G105" s="16"/>
      <c r="H105" s="16"/>
      <c r="I105" s="17"/>
      <c r="J105" s="38"/>
    </row>
    <row r="106" spans="1:11" s="18" customFormat="1" ht="14.1" customHeight="1">
      <c r="A106" s="374">
        <f t="shared" si="36"/>
        <v>100</v>
      </c>
      <c r="B106" s="2" t="s">
        <v>483</v>
      </c>
      <c r="C106" s="43">
        <f>C104+C94+C83+C74</f>
        <v>1171870203.23</v>
      </c>
      <c r="D106" s="43">
        <f t="shared" ref="D106:G106" si="43">D104+D94+D83+D74</f>
        <v>29028334.230000019</v>
      </c>
      <c r="E106" s="43">
        <f t="shared" si="43"/>
        <v>1142841869</v>
      </c>
      <c r="F106" s="43">
        <f>F104+F94+F83+F74</f>
        <v>-323154089</v>
      </c>
      <c r="G106" s="43">
        <f t="shared" si="43"/>
        <v>819687780</v>
      </c>
      <c r="H106" s="43"/>
      <c r="I106" s="263"/>
      <c r="J106" s="38"/>
    </row>
    <row r="107" spans="1:11" s="18" customFormat="1" ht="14.1" customHeight="1">
      <c r="A107" s="374">
        <f t="shared" si="36"/>
        <v>101</v>
      </c>
      <c r="B107" s="2"/>
      <c r="C107" s="43"/>
      <c r="D107" s="43"/>
      <c r="E107" s="43"/>
      <c r="F107" s="43"/>
      <c r="G107" s="43"/>
      <c r="H107" s="43"/>
      <c r="I107" s="263"/>
      <c r="J107" s="38"/>
    </row>
    <row r="108" spans="1:11" ht="14.1" customHeight="1">
      <c r="A108" s="374">
        <f t="shared" si="36"/>
        <v>102</v>
      </c>
      <c r="B108" s="89" t="s">
        <v>91</v>
      </c>
      <c r="C108" s="43">
        <f>J108+J109</f>
        <v>608469</v>
      </c>
      <c r="D108" s="10">
        <f>C108-E108</f>
        <v>9127</v>
      </c>
      <c r="E108" s="10">
        <f>ROUND(C108*'Allocation Factors'!$G$16,0)</f>
        <v>599342</v>
      </c>
      <c r="F108" s="10">
        <f>'Sch 5'!C108</f>
        <v>0</v>
      </c>
      <c r="G108" s="10">
        <f>E108+F108</f>
        <v>599342</v>
      </c>
      <c r="H108" s="10"/>
      <c r="I108" s="15" t="s">
        <v>346</v>
      </c>
      <c r="J108" s="14">
        <v>526440</v>
      </c>
      <c r="K108" s="89" t="s">
        <v>449</v>
      </c>
    </row>
    <row r="109" spans="1:11" ht="14.1" customHeight="1">
      <c r="A109" s="374">
        <f t="shared" si="36"/>
        <v>103</v>
      </c>
      <c r="B109" s="56" t="s">
        <v>92</v>
      </c>
      <c r="C109" s="64">
        <v>0</v>
      </c>
      <c r="D109" s="64">
        <v>0</v>
      </c>
      <c r="E109" s="64">
        <v>0</v>
      </c>
      <c r="F109" s="10">
        <f>'Sch 5'!C109</f>
        <v>0</v>
      </c>
      <c r="G109" s="10">
        <f>E109+F109</f>
        <v>0</v>
      </c>
      <c r="H109" s="10"/>
      <c r="I109" s="15"/>
      <c r="J109" s="14">
        <v>82029</v>
      </c>
      <c r="K109" s="89" t="s">
        <v>450</v>
      </c>
    </row>
    <row r="110" spans="1:11" s="18" customFormat="1" ht="14.1" customHeight="1">
      <c r="A110" s="374">
        <f t="shared" si="36"/>
        <v>104</v>
      </c>
      <c r="B110" s="2" t="s">
        <v>980</v>
      </c>
      <c r="C110" s="47">
        <f>C108+C109</f>
        <v>608469</v>
      </c>
      <c r="D110" s="47">
        <f t="shared" ref="D110:G110" si="44">D108+D109</f>
        <v>9127</v>
      </c>
      <c r="E110" s="47">
        <f>E108+E109</f>
        <v>599342</v>
      </c>
      <c r="F110" s="47">
        <f t="shared" si="44"/>
        <v>0</v>
      </c>
      <c r="G110" s="47">
        <f t="shared" si="44"/>
        <v>599342</v>
      </c>
      <c r="H110" s="47"/>
      <c r="I110" s="49"/>
      <c r="J110" s="38"/>
    </row>
    <row r="111" spans="1:11" s="18" customFormat="1" ht="14.1" customHeight="1">
      <c r="A111" s="374">
        <f t="shared" si="36"/>
        <v>105</v>
      </c>
      <c r="B111" s="6"/>
      <c r="C111" s="9"/>
      <c r="D111" s="16"/>
      <c r="E111" s="135"/>
      <c r="F111" s="16"/>
      <c r="G111" s="16"/>
      <c r="H111" s="16"/>
      <c r="I111" s="25"/>
      <c r="J111" s="38"/>
    </row>
    <row r="112" spans="1:11" ht="14.1" customHeight="1">
      <c r="A112" s="374">
        <f t="shared" si="36"/>
        <v>106</v>
      </c>
      <c r="B112" s="3" t="s">
        <v>93</v>
      </c>
      <c r="C112" s="43"/>
      <c r="D112" s="10"/>
      <c r="E112" s="10"/>
      <c r="F112" s="10"/>
      <c r="G112" s="10"/>
      <c r="H112" s="10"/>
      <c r="I112" s="15"/>
      <c r="J112" s="38"/>
    </row>
    <row r="113" spans="1:11" ht="14.1" customHeight="1">
      <c r="A113" s="374">
        <f t="shared" si="36"/>
        <v>107</v>
      </c>
      <c r="B113" s="89" t="s">
        <v>94</v>
      </c>
      <c r="C113" s="10">
        <v>31930105.960000001</v>
      </c>
      <c r="D113" s="38">
        <f t="shared" ref="D113:D123" si="45">C113-E113</f>
        <v>478951.96000000089</v>
      </c>
      <c r="E113" s="38">
        <f>ROUND(C113*'Allocation Factors'!$G$12,0)</f>
        <v>31451154</v>
      </c>
      <c r="F113" s="10">
        <f>'Sch 5'!C113</f>
        <v>0</v>
      </c>
      <c r="G113" s="10">
        <f t="shared" ref="G113:G123" si="46">E113+F113</f>
        <v>31451154</v>
      </c>
      <c r="H113" s="10"/>
      <c r="I113" s="15" t="s">
        <v>343</v>
      </c>
      <c r="J113" s="38"/>
    </row>
    <row r="114" spans="1:11" ht="14.1" customHeight="1">
      <c r="A114" s="374">
        <f t="shared" si="36"/>
        <v>108</v>
      </c>
      <c r="B114" s="89" t="s">
        <v>95</v>
      </c>
      <c r="C114" s="10">
        <v>6568576.5099999998</v>
      </c>
      <c r="D114" s="38">
        <f t="shared" si="45"/>
        <v>98528.509999999776</v>
      </c>
      <c r="E114" s="38">
        <f>ROUND(C114*'Allocation Factors'!$G$12,0)</f>
        <v>6470048</v>
      </c>
      <c r="F114" s="10">
        <f>'Sch 5'!C114</f>
        <v>0</v>
      </c>
      <c r="G114" s="10">
        <f t="shared" si="46"/>
        <v>6470048</v>
      </c>
      <c r="H114" s="10"/>
      <c r="I114" s="15" t="s">
        <v>343</v>
      </c>
      <c r="J114" s="38"/>
    </row>
    <row r="115" spans="1:11" ht="14.1" customHeight="1">
      <c r="A115" s="374">
        <f t="shared" si="36"/>
        <v>109</v>
      </c>
      <c r="B115" s="89" t="s">
        <v>96</v>
      </c>
      <c r="C115" s="10">
        <v>184691932.59</v>
      </c>
      <c r="D115" s="38">
        <f t="shared" si="45"/>
        <v>2770378.5900000036</v>
      </c>
      <c r="E115" s="38">
        <f>ROUND(C115*'Allocation Factors'!$G$12,0)</f>
        <v>181921554</v>
      </c>
      <c r="F115" s="10">
        <f>'Sch 5'!C115</f>
        <v>0</v>
      </c>
      <c r="G115" s="10">
        <f t="shared" si="46"/>
        <v>181921554</v>
      </c>
      <c r="H115" s="10"/>
      <c r="I115" s="15" t="s">
        <v>343</v>
      </c>
      <c r="J115" s="38"/>
    </row>
    <row r="116" spans="1:11" ht="14.1" customHeight="1">
      <c r="A116" s="374">
        <f t="shared" si="36"/>
        <v>110</v>
      </c>
      <c r="B116" s="89" t="s">
        <v>97</v>
      </c>
      <c r="C116" s="10">
        <v>81856.25</v>
      </c>
      <c r="D116" s="38">
        <f t="shared" si="45"/>
        <v>1228.25</v>
      </c>
      <c r="E116" s="38">
        <f>ROUND(C116*'Allocation Factors'!$G$10,0)</f>
        <v>80628</v>
      </c>
      <c r="F116" s="10">
        <f>'Sch 5'!C116</f>
        <v>0</v>
      </c>
      <c r="G116" s="10">
        <f t="shared" si="46"/>
        <v>80628</v>
      </c>
      <c r="H116" s="10"/>
      <c r="I116" s="15" t="s">
        <v>341</v>
      </c>
      <c r="J116" s="38"/>
    </row>
    <row r="117" spans="1:11" ht="14.1" customHeight="1">
      <c r="A117" s="374">
        <f t="shared" si="36"/>
        <v>111</v>
      </c>
      <c r="B117" s="89" t="s">
        <v>98</v>
      </c>
      <c r="C117" s="10">
        <v>10116400.58</v>
      </c>
      <c r="D117" s="38">
        <f t="shared" si="45"/>
        <v>151745.58000000007</v>
      </c>
      <c r="E117" s="38">
        <f>ROUND(C117*'Allocation Factors'!$G$10,0)</f>
        <v>9964655</v>
      </c>
      <c r="F117" s="10">
        <f>'Sch 5'!C117</f>
        <v>0</v>
      </c>
      <c r="G117" s="10">
        <f t="shared" si="46"/>
        <v>9964655</v>
      </c>
      <c r="H117" s="10"/>
      <c r="I117" s="15" t="s">
        <v>341</v>
      </c>
      <c r="J117" s="38"/>
    </row>
    <row r="118" spans="1:11" ht="14.1" customHeight="1">
      <c r="A118" s="374">
        <f t="shared" si="36"/>
        <v>112</v>
      </c>
      <c r="B118" s="89" t="s">
        <v>99</v>
      </c>
      <c r="C118" s="10">
        <v>96771843.769999996</v>
      </c>
      <c r="D118" s="38">
        <f t="shared" si="45"/>
        <v>1451577.7699999958</v>
      </c>
      <c r="E118" s="38">
        <f>ROUND(C118*'Allocation Factors'!$G$12,0)</f>
        <v>95320266</v>
      </c>
      <c r="F118" s="10">
        <f>'Sch 5'!C118</f>
        <v>0</v>
      </c>
      <c r="G118" s="10">
        <f t="shared" si="46"/>
        <v>95320266</v>
      </c>
      <c r="H118" s="10"/>
      <c r="I118" s="15" t="s">
        <v>343</v>
      </c>
      <c r="J118" s="38"/>
    </row>
    <row r="119" spans="1:11" ht="14.1" customHeight="1">
      <c r="A119" s="374">
        <f t="shared" si="36"/>
        <v>113</v>
      </c>
      <c r="B119" s="89" t="s">
        <v>100</v>
      </c>
      <c r="C119" s="10">
        <v>99146330.950000003</v>
      </c>
      <c r="D119" s="38">
        <f t="shared" si="45"/>
        <v>1487194.950000003</v>
      </c>
      <c r="E119" s="38">
        <f>ROUND(C119*'Allocation Factors'!$G$12,0)</f>
        <v>97659136</v>
      </c>
      <c r="F119" s="10">
        <f>'Sch 5'!C119</f>
        <v>0</v>
      </c>
      <c r="G119" s="10">
        <f t="shared" si="46"/>
        <v>97659136</v>
      </c>
      <c r="H119" s="10"/>
      <c r="I119" s="15" t="s">
        <v>343</v>
      </c>
      <c r="J119" s="38"/>
    </row>
    <row r="120" spans="1:11" ht="14.1" customHeight="1">
      <c r="A120" s="374">
        <f t="shared" si="36"/>
        <v>114</v>
      </c>
      <c r="B120" s="89" t="s">
        <v>101</v>
      </c>
      <c r="C120" s="10">
        <v>135569408</v>
      </c>
      <c r="D120" s="38">
        <f t="shared" si="45"/>
        <v>2033541</v>
      </c>
      <c r="E120" s="38">
        <f>ROUND(C120*'Allocation Factors'!$G$12,0)</f>
        <v>133535867</v>
      </c>
      <c r="F120" s="10">
        <f>'Sch 5'!C120</f>
        <v>0</v>
      </c>
      <c r="G120" s="10">
        <f t="shared" si="46"/>
        <v>133535867</v>
      </c>
      <c r="H120" s="10"/>
      <c r="I120" s="15" t="s">
        <v>343</v>
      </c>
      <c r="J120" s="38"/>
    </row>
    <row r="121" spans="1:11" ht="14.1" customHeight="1">
      <c r="A121" s="374">
        <f t="shared" si="36"/>
        <v>115</v>
      </c>
      <c r="B121" s="89" t="s">
        <v>102</v>
      </c>
      <c r="C121" s="10">
        <v>11590</v>
      </c>
      <c r="D121" s="38">
        <f t="shared" si="45"/>
        <v>174</v>
      </c>
      <c r="E121" s="38">
        <f>ROUND(C121*'Allocation Factors'!$G$12,0)</f>
        <v>11416</v>
      </c>
      <c r="F121" s="10">
        <f>'Sch 5'!C121</f>
        <v>0</v>
      </c>
      <c r="G121" s="10">
        <f t="shared" si="46"/>
        <v>11416</v>
      </c>
      <c r="H121" s="10"/>
      <c r="I121" s="15" t="s">
        <v>343</v>
      </c>
      <c r="J121" s="38"/>
    </row>
    <row r="122" spans="1:11" ht="14.1" customHeight="1">
      <c r="A122" s="374">
        <f t="shared" si="36"/>
        <v>116</v>
      </c>
      <c r="B122" s="89" t="s">
        <v>103</v>
      </c>
      <c r="C122" s="10">
        <v>106066</v>
      </c>
      <c r="D122" s="38">
        <f t="shared" si="45"/>
        <v>1591</v>
      </c>
      <c r="E122" s="38">
        <f>ROUND(C122*'Allocation Factors'!$G$12,0)</f>
        <v>104475</v>
      </c>
      <c r="F122" s="10">
        <f>'Sch 5'!C122</f>
        <v>0</v>
      </c>
      <c r="G122" s="10">
        <f t="shared" si="46"/>
        <v>104475</v>
      </c>
      <c r="H122" s="10"/>
      <c r="I122" s="15" t="s">
        <v>343</v>
      </c>
      <c r="J122" s="38"/>
    </row>
    <row r="123" spans="1:11" ht="14.1" customHeight="1">
      <c r="A123" s="374">
        <f t="shared" si="36"/>
        <v>117</v>
      </c>
      <c r="B123" s="56" t="s">
        <v>104</v>
      </c>
      <c r="C123" s="10">
        <v>0</v>
      </c>
      <c r="D123" s="38">
        <f t="shared" si="45"/>
        <v>0</v>
      </c>
      <c r="E123" s="38">
        <f>ROUND(C123*'Allocation Factors'!$G$12,0)</f>
        <v>0</v>
      </c>
      <c r="F123" s="10">
        <f>'Sch 5'!C123</f>
        <v>0</v>
      </c>
      <c r="G123" s="10">
        <f t="shared" si="46"/>
        <v>0</v>
      </c>
      <c r="H123" s="10"/>
      <c r="I123" s="15" t="s">
        <v>343</v>
      </c>
      <c r="J123" s="38"/>
    </row>
    <row r="124" spans="1:11" ht="14.1" customHeight="1">
      <c r="A124" s="374">
        <f t="shared" si="36"/>
        <v>118</v>
      </c>
      <c r="B124" s="2" t="s">
        <v>484</v>
      </c>
      <c r="C124" s="86">
        <f>SUM(C113:C123)</f>
        <v>564994110.61000001</v>
      </c>
      <c r="D124" s="86">
        <f t="shared" ref="D124:G124" si="47">SUM(D113:D123)</f>
        <v>8474911.6100000031</v>
      </c>
      <c r="E124" s="86">
        <f t="shared" si="47"/>
        <v>556519199</v>
      </c>
      <c r="F124" s="86">
        <f t="shared" si="47"/>
        <v>0</v>
      </c>
      <c r="G124" s="86">
        <f t="shared" si="47"/>
        <v>556519199</v>
      </c>
      <c r="H124" s="86"/>
      <c r="I124" s="154"/>
      <c r="J124" s="38"/>
    </row>
    <row r="125" spans="1:11" ht="14.1" customHeight="1">
      <c r="A125" s="374">
        <f t="shared" si="36"/>
        <v>119</v>
      </c>
      <c r="B125" s="6"/>
      <c r="C125" s="16"/>
      <c r="D125" s="16"/>
      <c r="E125" s="135"/>
      <c r="F125" s="16"/>
      <c r="G125" s="43"/>
      <c r="H125" s="43"/>
      <c r="I125" s="15"/>
      <c r="J125" s="38"/>
    </row>
    <row r="126" spans="1:11" ht="14.1" customHeight="1">
      <c r="A126" s="374">
        <f t="shared" si="36"/>
        <v>120</v>
      </c>
      <c r="B126" s="3" t="s">
        <v>105</v>
      </c>
      <c r="C126" s="10"/>
      <c r="D126" s="10"/>
      <c r="E126" s="155"/>
      <c r="F126" s="10"/>
      <c r="G126" s="10"/>
      <c r="H126" s="10"/>
      <c r="I126" s="15"/>
      <c r="J126" s="38"/>
    </row>
    <row r="127" spans="1:11" ht="14.1" customHeight="1">
      <c r="A127" s="374">
        <f t="shared" si="36"/>
        <v>121</v>
      </c>
      <c r="B127" s="89" t="s">
        <v>106</v>
      </c>
      <c r="C127" s="10">
        <v>7496164.6200000001</v>
      </c>
      <c r="D127" s="19">
        <f>J127</f>
        <v>1408</v>
      </c>
      <c r="E127" s="90">
        <f t="shared" ref="E127:E141" si="48">C127-D127</f>
        <v>7494756.6200000001</v>
      </c>
      <c r="F127" s="10">
        <f>'Sch 5'!C127</f>
        <v>0</v>
      </c>
      <c r="G127" s="10">
        <f t="shared" ref="G127:G141" si="49">E127+F127</f>
        <v>7494756.6200000001</v>
      </c>
      <c r="H127" s="10"/>
      <c r="I127" s="15" t="s">
        <v>54</v>
      </c>
      <c r="J127" s="38">
        <v>1408</v>
      </c>
      <c r="K127" s="89" t="s">
        <v>960</v>
      </c>
    </row>
    <row r="128" spans="1:11" ht="14.1" customHeight="1">
      <c r="A128" s="374">
        <f t="shared" si="36"/>
        <v>122</v>
      </c>
      <c r="B128" s="89" t="s">
        <v>107</v>
      </c>
      <c r="C128" s="10">
        <v>4369029.07</v>
      </c>
      <c r="D128" s="19">
        <f t="shared" ref="D128:D129" si="50">J128</f>
        <v>44907</v>
      </c>
      <c r="E128" s="90">
        <f t="shared" si="48"/>
        <v>4324122.07</v>
      </c>
      <c r="F128" s="10">
        <f>'Sch 5'!C128</f>
        <v>0</v>
      </c>
      <c r="G128" s="10">
        <f t="shared" si="49"/>
        <v>4324122.07</v>
      </c>
      <c r="H128" s="10"/>
      <c r="I128" s="15" t="s">
        <v>54</v>
      </c>
      <c r="J128" s="38">
        <v>44907</v>
      </c>
      <c r="K128" s="89" t="s">
        <v>960</v>
      </c>
    </row>
    <row r="129" spans="1:11" ht="14.1" customHeight="1">
      <c r="A129" s="374">
        <f t="shared" si="36"/>
        <v>123</v>
      </c>
      <c r="B129" s="89" t="s">
        <v>108</v>
      </c>
      <c r="C129" s="10">
        <v>93995912.709999993</v>
      </c>
      <c r="D129" s="19">
        <f t="shared" si="50"/>
        <v>903858.68</v>
      </c>
      <c r="E129" s="90">
        <f t="shared" si="48"/>
        <v>93092054.029999986</v>
      </c>
      <c r="F129" s="10">
        <f>'Sch 5'!C129</f>
        <v>0</v>
      </c>
      <c r="G129" s="10">
        <f t="shared" si="49"/>
        <v>93092054.029999986</v>
      </c>
      <c r="H129" s="10"/>
      <c r="I129" s="15" t="s">
        <v>54</v>
      </c>
      <c r="J129" s="38">
        <v>903858.68</v>
      </c>
      <c r="K129" s="89" t="s">
        <v>960</v>
      </c>
    </row>
    <row r="130" spans="1:11" ht="14.1" customHeight="1">
      <c r="A130" s="374">
        <f t="shared" si="36"/>
        <v>124</v>
      </c>
      <c r="B130" s="89" t="s">
        <v>109</v>
      </c>
      <c r="C130" s="10">
        <v>0</v>
      </c>
      <c r="D130" s="19">
        <v>0</v>
      </c>
      <c r="E130" s="19">
        <f t="shared" si="48"/>
        <v>0</v>
      </c>
      <c r="F130" s="10">
        <f>'Sch 5'!C130</f>
        <v>0</v>
      </c>
      <c r="G130" s="10">
        <f t="shared" si="49"/>
        <v>0</v>
      </c>
      <c r="H130" s="10"/>
      <c r="I130" s="15" t="s">
        <v>362</v>
      </c>
      <c r="J130" s="38"/>
    </row>
    <row r="131" spans="1:11" ht="14.1" customHeight="1">
      <c r="A131" s="374">
        <f t="shared" si="36"/>
        <v>125</v>
      </c>
      <c r="B131" s="89" t="s">
        <v>110</v>
      </c>
      <c r="C131" s="10">
        <v>197960425.34</v>
      </c>
      <c r="D131" s="19">
        <v>0</v>
      </c>
      <c r="E131" s="19">
        <f t="shared" si="48"/>
        <v>197960425.34</v>
      </c>
      <c r="F131" s="10">
        <f>'Sch 5'!C131</f>
        <v>0</v>
      </c>
      <c r="G131" s="10">
        <f t="shared" si="49"/>
        <v>197960425.34</v>
      </c>
      <c r="H131" s="10"/>
      <c r="I131" s="15" t="s">
        <v>362</v>
      </c>
      <c r="J131" s="38"/>
    </row>
    <row r="132" spans="1:11" ht="14.1" customHeight="1">
      <c r="A132" s="374">
        <f t="shared" si="36"/>
        <v>126</v>
      </c>
      <c r="B132" s="89" t="s">
        <v>111</v>
      </c>
      <c r="C132" s="10">
        <v>210786707.84999999</v>
      </c>
      <c r="D132" s="19">
        <v>0</v>
      </c>
      <c r="E132" s="19">
        <f t="shared" si="48"/>
        <v>210786707.84999999</v>
      </c>
      <c r="F132" s="10">
        <f>'Sch 5'!C132</f>
        <v>0</v>
      </c>
      <c r="G132" s="10">
        <f t="shared" si="49"/>
        <v>210786707.84999999</v>
      </c>
      <c r="H132" s="10"/>
      <c r="I132" s="15" t="s">
        <v>362</v>
      </c>
      <c r="J132" s="38"/>
    </row>
    <row r="133" spans="1:11" ht="14.1" customHeight="1">
      <c r="A133" s="374">
        <f t="shared" si="36"/>
        <v>127</v>
      </c>
      <c r="B133" s="89" t="s">
        <v>112</v>
      </c>
      <c r="C133" s="10">
        <v>7085244.3399999999</v>
      </c>
      <c r="D133" s="19">
        <v>0</v>
      </c>
      <c r="E133" s="19">
        <f t="shared" si="48"/>
        <v>7085244.3399999999</v>
      </c>
      <c r="F133" s="10">
        <f>'Sch 5'!C133</f>
        <v>0</v>
      </c>
      <c r="G133" s="10">
        <f t="shared" si="49"/>
        <v>7085244.3399999999</v>
      </c>
      <c r="H133" s="10"/>
      <c r="I133" s="15" t="s">
        <v>362</v>
      </c>
      <c r="J133" s="38"/>
    </row>
    <row r="134" spans="1:11" ht="14.1" customHeight="1">
      <c r="A134" s="374">
        <f t="shared" si="36"/>
        <v>128</v>
      </c>
      <c r="B134" s="89" t="s">
        <v>113</v>
      </c>
      <c r="C134" s="10">
        <v>10922888.810000001</v>
      </c>
      <c r="D134" s="19">
        <v>0</v>
      </c>
      <c r="E134" s="19">
        <f t="shared" si="48"/>
        <v>10922888.810000001</v>
      </c>
      <c r="F134" s="10">
        <f>'Sch 5'!C134</f>
        <v>0</v>
      </c>
      <c r="G134" s="10">
        <f t="shared" si="49"/>
        <v>10922888.810000001</v>
      </c>
      <c r="H134" s="10"/>
      <c r="I134" s="15" t="s">
        <v>362</v>
      </c>
      <c r="J134" s="38"/>
    </row>
    <row r="135" spans="1:11" ht="14.1" customHeight="1">
      <c r="A135" s="374">
        <f t="shared" si="36"/>
        <v>129</v>
      </c>
      <c r="B135" s="89" t="s">
        <v>114</v>
      </c>
      <c r="C135" s="10">
        <v>129673008.75</v>
      </c>
      <c r="D135" s="19">
        <v>0</v>
      </c>
      <c r="E135" s="19">
        <f t="shared" si="48"/>
        <v>129673008.75</v>
      </c>
      <c r="F135" s="10">
        <f>'Sch 5'!C135</f>
        <v>0</v>
      </c>
      <c r="G135" s="10">
        <f t="shared" si="49"/>
        <v>129673008.75</v>
      </c>
      <c r="H135" s="10"/>
      <c r="I135" s="15" t="s">
        <v>362</v>
      </c>
      <c r="J135" s="38"/>
    </row>
    <row r="136" spans="1:11" ht="14.1" customHeight="1">
      <c r="A136" s="374">
        <f t="shared" si="36"/>
        <v>130</v>
      </c>
      <c r="B136" s="89" t="s">
        <v>115</v>
      </c>
      <c r="C136" s="10">
        <v>59500019.219999999</v>
      </c>
      <c r="D136" s="19">
        <v>0</v>
      </c>
      <c r="E136" s="19">
        <f t="shared" si="48"/>
        <v>59500019.219999999</v>
      </c>
      <c r="F136" s="10">
        <f>'Sch 5'!C136</f>
        <v>0</v>
      </c>
      <c r="G136" s="10">
        <f t="shared" si="49"/>
        <v>59500019.219999999</v>
      </c>
      <c r="H136" s="10"/>
      <c r="I136" s="15" t="s">
        <v>362</v>
      </c>
      <c r="J136" s="38"/>
    </row>
    <row r="137" spans="1:11" ht="14.1" customHeight="1">
      <c r="A137" s="374">
        <f t="shared" si="36"/>
        <v>131</v>
      </c>
      <c r="B137" s="89" t="s">
        <v>116</v>
      </c>
      <c r="C137" s="10">
        <v>24884084.690000001</v>
      </c>
      <c r="D137" s="19">
        <f>J137</f>
        <v>4102</v>
      </c>
      <c r="E137" s="19">
        <f t="shared" si="48"/>
        <v>24879982.690000001</v>
      </c>
      <c r="F137" s="10">
        <f>'Sch 5'!C137</f>
        <v>0</v>
      </c>
      <c r="G137" s="10">
        <f t="shared" si="49"/>
        <v>24879982.690000001</v>
      </c>
      <c r="H137" s="10"/>
      <c r="I137" s="15" t="s">
        <v>54</v>
      </c>
      <c r="J137" s="38">
        <v>4102</v>
      </c>
      <c r="K137" s="89" t="s">
        <v>961</v>
      </c>
    </row>
    <row r="138" spans="1:11" ht="14.1" customHeight="1">
      <c r="A138" s="374">
        <f t="shared" si="36"/>
        <v>132</v>
      </c>
      <c r="B138" s="89" t="s">
        <v>117</v>
      </c>
      <c r="C138" s="10">
        <v>19474253.379999999</v>
      </c>
      <c r="D138" s="19">
        <v>0</v>
      </c>
      <c r="E138" s="19">
        <f t="shared" si="48"/>
        <v>19474253.379999999</v>
      </c>
      <c r="F138" s="10">
        <f>'Sch 5'!C138</f>
        <v>0</v>
      </c>
      <c r="G138" s="10">
        <f t="shared" si="49"/>
        <v>19474253.379999999</v>
      </c>
      <c r="H138" s="10"/>
      <c r="I138" s="15" t="s">
        <v>362</v>
      </c>
      <c r="J138" s="38"/>
    </row>
    <row r="139" spans="1:11" ht="14.1" customHeight="1">
      <c r="A139" s="374">
        <f t="shared" si="36"/>
        <v>133</v>
      </c>
      <c r="B139" s="89" t="s">
        <v>118</v>
      </c>
      <c r="C139" s="10">
        <v>0</v>
      </c>
      <c r="D139" s="19">
        <v>0</v>
      </c>
      <c r="E139" s="19">
        <f t="shared" si="48"/>
        <v>0</v>
      </c>
      <c r="F139" s="10">
        <f>'Sch 5'!C139</f>
        <v>0</v>
      </c>
      <c r="G139" s="10">
        <f t="shared" si="49"/>
        <v>0</v>
      </c>
      <c r="H139" s="10"/>
      <c r="I139" s="15" t="s">
        <v>362</v>
      </c>
      <c r="J139" s="38"/>
    </row>
    <row r="140" spans="1:11" ht="14.1" customHeight="1">
      <c r="A140" s="374">
        <f t="shared" si="36"/>
        <v>134</v>
      </c>
      <c r="B140" s="89" t="s">
        <v>119</v>
      </c>
      <c r="C140" s="10">
        <v>3877573.05</v>
      </c>
      <c r="D140" s="19">
        <v>0</v>
      </c>
      <c r="E140" s="19">
        <f t="shared" si="48"/>
        <v>3877573.05</v>
      </c>
      <c r="F140" s="10">
        <f>'Sch 5'!C140</f>
        <v>0</v>
      </c>
      <c r="G140" s="10">
        <f t="shared" si="49"/>
        <v>3877573.05</v>
      </c>
      <c r="H140" s="10"/>
      <c r="I140" s="15" t="s">
        <v>362</v>
      </c>
      <c r="J140" s="38"/>
    </row>
    <row r="141" spans="1:11" ht="14.1" customHeight="1">
      <c r="A141" s="374">
        <f t="shared" ref="A141:A182" si="51">+A140+1</f>
        <v>135</v>
      </c>
      <c r="B141" s="56" t="s">
        <v>120</v>
      </c>
      <c r="C141" s="10">
        <v>0</v>
      </c>
      <c r="D141" s="19">
        <v>0</v>
      </c>
      <c r="E141" s="19">
        <f t="shared" si="48"/>
        <v>0</v>
      </c>
      <c r="F141" s="10">
        <f>'Sch 5'!C141</f>
        <v>0</v>
      </c>
      <c r="G141" s="10">
        <f t="shared" si="49"/>
        <v>0</v>
      </c>
      <c r="H141" s="10"/>
      <c r="I141" s="15" t="s">
        <v>362</v>
      </c>
      <c r="J141" s="38"/>
    </row>
    <row r="142" spans="1:11" ht="14.1" customHeight="1">
      <c r="A142" s="374">
        <f t="shared" si="51"/>
        <v>136</v>
      </c>
      <c r="B142" s="2" t="s">
        <v>485</v>
      </c>
      <c r="C142" s="86">
        <f t="shared" ref="C142:G142" si="52">SUM(C127:C141)</f>
        <v>770025311.83000004</v>
      </c>
      <c r="D142" s="86">
        <f t="shared" si="52"/>
        <v>954275.68</v>
      </c>
      <c r="E142" s="86">
        <f>SUM(E127:E141)</f>
        <v>769071036.14999998</v>
      </c>
      <c r="F142" s="86">
        <f t="shared" si="52"/>
        <v>0</v>
      </c>
      <c r="G142" s="86">
        <f t="shared" si="52"/>
        <v>769071036.14999998</v>
      </c>
      <c r="H142" s="86"/>
      <c r="I142" s="154"/>
      <c r="J142" s="38"/>
    </row>
    <row r="143" spans="1:11" ht="14.1" customHeight="1">
      <c r="A143" s="374">
        <f t="shared" si="51"/>
        <v>137</v>
      </c>
      <c r="B143" s="6"/>
      <c r="C143" s="16"/>
      <c r="D143" s="16"/>
      <c r="E143" s="135"/>
      <c r="F143" s="16"/>
      <c r="G143" s="43"/>
      <c r="H143" s="43"/>
      <c r="I143" s="15"/>
      <c r="J143" s="38"/>
    </row>
    <row r="144" spans="1:11" ht="14.1" customHeight="1">
      <c r="A144" s="374">
        <f t="shared" si="51"/>
        <v>138</v>
      </c>
      <c r="B144" s="3" t="s">
        <v>121</v>
      </c>
      <c r="C144" s="10"/>
      <c r="D144" s="10"/>
      <c r="E144" s="10"/>
      <c r="F144" s="10"/>
      <c r="G144" s="10"/>
      <c r="H144" s="10"/>
      <c r="I144" s="15"/>
      <c r="J144" s="38"/>
    </row>
    <row r="145" spans="1:10" ht="14.1" customHeight="1">
      <c r="A145" s="374">
        <f t="shared" si="51"/>
        <v>139</v>
      </c>
      <c r="B145" s="89" t="s">
        <v>122</v>
      </c>
      <c r="C145" s="10">
        <v>1524731</v>
      </c>
      <c r="D145" s="10">
        <f t="shared" ref="D145:D156" si="53">C145-E145</f>
        <v>22871</v>
      </c>
      <c r="E145" s="10">
        <f>ROUND(C145*'Allocation Factors'!$G$22,0)</f>
        <v>1501860</v>
      </c>
      <c r="F145" s="10">
        <f>'Sch 5'!C145</f>
        <v>0</v>
      </c>
      <c r="G145" s="10">
        <f t="shared" ref="G145:G156" si="54">E145+F145</f>
        <v>1501860</v>
      </c>
      <c r="H145" s="10"/>
      <c r="I145" s="15" t="s">
        <v>352</v>
      </c>
      <c r="J145" s="38"/>
    </row>
    <row r="146" spans="1:10" ht="14.1" customHeight="1">
      <c r="A146" s="374">
        <f t="shared" si="51"/>
        <v>140</v>
      </c>
      <c r="B146" s="89" t="s">
        <v>123</v>
      </c>
      <c r="C146" s="10">
        <v>21955492.129999999</v>
      </c>
      <c r="D146" s="10">
        <f t="shared" si="53"/>
        <v>329332.12999999896</v>
      </c>
      <c r="E146" s="10">
        <f>ROUND(C146*'Allocation Factors'!$G$22,0)</f>
        <v>21626160</v>
      </c>
      <c r="F146" s="10">
        <f>'Sch 5'!C146</f>
        <v>0</v>
      </c>
      <c r="G146" s="10">
        <f t="shared" si="54"/>
        <v>21626160</v>
      </c>
      <c r="H146" s="10"/>
      <c r="I146" s="15" t="s">
        <v>352</v>
      </c>
      <c r="J146" s="38"/>
    </row>
    <row r="147" spans="1:10" ht="14.1" customHeight="1">
      <c r="A147" s="374">
        <f t="shared" si="51"/>
        <v>141</v>
      </c>
      <c r="B147" s="89" t="s">
        <v>124</v>
      </c>
      <c r="C147" s="10">
        <v>1824237.01</v>
      </c>
      <c r="D147" s="10">
        <f t="shared" si="53"/>
        <v>27364.010000000009</v>
      </c>
      <c r="E147" s="10">
        <f>ROUND(C147*'Allocation Factors'!$G$22,0)</f>
        <v>1796873</v>
      </c>
      <c r="F147" s="10">
        <f>'Sch 5'!C147</f>
        <v>0</v>
      </c>
      <c r="G147" s="10">
        <f t="shared" si="54"/>
        <v>1796873</v>
      </c>
      <c r="H147" s="10"/>
      <c r="I147" s="15" t="s">
        <v>352</v>
      </c>
      <c r="J147" s="38"/>
    </row>
    <row r="148" spans="1:10" ht="14.1" customHeight="1">
      <c r="A148" s="374">
        <f t="shared" si="51"/>
        <v>142</v>
      </c>
      <c r="B148" s="89" t="s">
        <v>125</v>
      </c>
      <c r="C148" s="10">
        <v>14767.6</v>
      </c>
      <c r="D148" s="10">
        <f t="shared" si="53"/>
        <v>221.60000000000036</v>
      </c>
      <c r="E148" s="10">
        <f>ROUND(C148*'Allocation Factors'!$G$22,0)</f>
        <v>14546</v>
      </c>
      <c r="F148" s="10">
        <f>'Sch 5'!C148</f>
        <v>0</v>
      </c>
      <c r="G148" s="10">
        <f t="shared" si="54"/>
        <v>14546</v>
      </c>
      <c r="H148" s="10"/>
      <c r="I148" s="15" t="s">
        <v>352</v>
      </c>
      <c r="J148" s="38"/>
    </row>
    <row r="149" spans="1:10" ht="14.1" customHeight="1">
      <c r="A149" s="374">
        <f t="shared" si="51"/>
        <v>143</v>
      </c>
      <c r="B149" s="89" t="s">
        <v>126</v>
      </c>
      <c r="C149" s="10">
        <v>194628.45</v>
      </c>
      <c r="D149" s="10">
        <f t="shared" si="53"/>
        <v>2919.4500000000116</v>
      </c>
      <c r="E149" s="10">
        <f>ROUND(C149*'Allocation Factors'!$G$22,0)</f>
        <v>191709</v>
      </c>
      <c r="F149" s="10">
        <f>'Sch 5'!C149</f>
        <v>0</v>
      </c>
      <c r="G149" s="10">
        <f t="shared" si="54"/>
        <v>191709</v>
      </c>
      <c r="H149" s="10"/>
      <c r="I149" s="15" t="s">
        <v>352</v>
      </c>
      <c r="J149" s="38"/>
    </row>
    <row r="150" spans="1:10" ht="14.1" customHeight="1">
      <c r="A150" s="374">
        <f t="shared" si="51"/>
        <v>144</v>
      </c>
      <c r="B150" s="89" t="s">
        <v>127</v>
      </c>
      <c r="C150" s="10">
        <v>4062371.76</v>
      </c>
      <c r="D150" s="10">
        <f t="shared" si="53"/>
        <v>60935.759999999776</v>
      </c>
      <c r="E150" s="10">
        <f>ROUND(C150*'Allocation Factors'!$G$22,0)</f>
        <v>4001436</v>
      </c>
      <c r="F150" s="10">
        <f>'Sch 5'!C150</f>
        <v>0</v>
      </c>
      <c r="G150" s="10">
        <f t="shared" si="54"/>
        <v>4001436</v>
      </c>
      <c r="H150" s="10"/>
      <c r="I150" s="15" t="s">
        <v>352</v>
      </c>
      <c r="J150" s="38"/>
    </row>
    <row r="151" spans="1:10" ht="14.1" customHeight="1">
      <c r="A151" s="374">
        <f t="shared" si="51"/>
        <v>145</v>
      </c>
      <c r="B151" s="89" t="s">
        <v>128</v>
      </c>
      <c r="C151" s="10">
        <v>261453.42</v>
      </c>
      <c r="D151" s="10">
        <f t="shared" si="53"/>
        <v>3921.4200000000128</v>
      </c>
      <c r="E151" s="10">
        <f>ROUND(C151*'Allocation Factors'!$G$22,0)</f>
        <v>257532</v>
      </c>
      <c r="F151" s="10">
        <f>'Sch 5'!C151</f>
        <v>0</v>
      </c>
      <c r="G151" s="10">
        <f t="shared" si="54"/>
        <v>257532</v>
      </c>
      <c r="H151" s="10"/>
      <c r="I151" s="15" t="s">
        <v>352</v>
      </c>
      <c r="J151" s="38"/>
    </row>
    <row r="152" spans="1:10" ht="14.1" customHeight="1">
      <c r="A152" s="374">
        <f t="shared" si="51"/>
        <v>146</v>
      </c>
      <c r="B152" s="89" t="s">
        <v>129</v>
      </c>
      <c r="C152" s="10">
        <v>5931.29</v>
      </c>
      <c r="D152" s="10">
        <f t="shared" si="53"/>
        <v>89.289999999999964</v>
      </c>
      <c r="E152" s="10">
        <f>ROUND(C152*'Allocation Factors'!$G$22,0)</f>
        <v>5842</v>
      </c>
      <c r="F152" s="10">
        <f>'Sch 5'!C152</f>
        <v>0</v>
      </c>
      <c r="G152" s="10">
        <f t="shared" si="54"/>
        <v>5842</v>
      </c>
      <c r="H152" s="10"/>
      <c r="I152" s="15" t="s">
        <v>352</v>
      </c>
      <c r="J152" s="38"/>
    </row>
    <row r="153" spans="1:10" ht="14.1" customHeight="1">
      <c r="A153" s="374">
        <f t="shared" si="51"/>
        <v>147</v>
      </c>
      <c r="B153" s="89" t="s">
        <v>130</v>
      </c>
      <c r="C153" s="10">
        <v>9705775.5199999996</v>
      </c>
      <c r="D153" s="10">
        <f t="shared" si="53"/>
        <v>145586.51999999955</v>
      </c>
      <c r="E153" s="10">
        <f>ROUND(C153*'Allocation Factors'!$G$22,0)</f>
        <v>9560189</v>
      </c>
      <c r="F153" s="10">
        <f>'Sch 5'!C153</f>
        <v>0</v>
      </c>
      <c r="G153" s="10">
        <f t="shared" si="54"/>
        <v>9560189</v>
      </c>
      <c r="H153" s="10"/>
      <c r="I153" s="15" t="s">
        <v>352</v>
      </c>
      <c r="J153" s="38"/>
    </row>
    <row r="154" spans="1:10" ht="14.1" customHeight="1">
      <c r="A154" s="374">
        <f t="shared" si="51"/>
        <v>148</v>
      </c>
      <c r="B154" s="89" t="s">
        <v>131</v>
      </c>
      <c r="C154" s="10">
        <v>1624696.01</v>
      </c>
      <c r="D154" s="10">
        <f t="shared" si="53"/>
        <v>24370.010000000009</v>
      </c>
      <c r="E154" s="10">
        <f>ROUND(C154*'Allocation Factors'!$G$22,0)</f>
        <v>1600326</v>
      </c>
      <c r="F154" s="10">
        <f>'Sch 5'!C154</f>
        <v>0</v>
      </c>
      <c r="G154" s="10">
        <f t="shared" si="54"/>
        <v>1600326</v>
      </c>
      <c r="H154" s="10"/>
      <c r="I154" s="15" t="s">
        <v>352</v>
      </c>
      <c r="J154" s="38"/>
    </row>
    <row r="155" spans="1:10" ht="14.1" customHeight="1">
      <c r="A155" s="374">
        <f t="shared" si="51"/>
        <v>149</v>
      </c>
      <c r="B155" s="89" t="s">
        <v>132</v>
      </c>
      <c r="C155" s="10">
        <v>0</v>
      </c>
      <c r="D155" s="10">
        <f t="shared" si="53"/>
        <v>0</v>
      </c>
      <c r="E155" s="10">
        <f>ROUND(C155*'Allocation Factors'!$G$22,0)</f>
        <v>0</v>
      </c>
      <c r="F155" s="10">
        <f>'Sch 5'!C155</f>
        <v>0</v>
      </c>
      <c r="G155" s="10">
        <f t="shared" si="54"/>
        <v>0</v>
      </c>
      <c r="H155" s="10"/>
      <c r="I155" s="15" t="s">
        <v>352</v>
      </c>
      <c r="J155" s="38"/>
    </row>
    <row r="156" spans="1:10" ht="14.1" customHeight="1">
      <c r="A156" s="374">
        <f t="shared" si="51"/>
        <v>150</v>
      </c>
      <c r="B156" s="56" t="s">
        <v>133</v>
      </c>
      <c r="C156" s="10">
        <v>81054.350000000006</v>
      </c>
      <c r="D156" s="10">
        <f t="shared" si="53"/>
        <v>81054.350000000006</v>
      </c>
      <c r="E156" s="10">
        <v>0</v>
      </c>
      <c r="F156" s="10">
        <f>'Sch 5'!C156</f>
        <v>0</v>
      </c>
      <c r="G156" s="10">
        <f t="shared" si="54"/>
        <v>0</v>
      </c>
      <c r="H156" s="10"/>
      <c r="I156" s="15"/>
      <c r="J156" s="38"/>
    </row>
    <row r="157" spans="1:10" ht="14.1" customHeight="1">
      <c r="A157" s="374">
        <f t="shared" si="51"/>
        <v>151</v>
      </c>
      <c r="B157" s="91" t="s">
        <v>486</v>
      </c>
      <c r="C157" s="86">
        <f t="shared" ref="C157:G157" si="55">SUM(C145:C156)</f>
        <v>41255138.540000007</v>
      </c>
      <c r="D157" s="86">
        <f t="shared" si="55"/>
        <v>698665.53999999829</v>
      </c>
      <c r="E157" s="86">
        <f t="shared" si="55"/>
        <v>40556473</v>
      </c>
      <c r="F157" s="86">
        <f t="shared" si="55"/>
        <v>0</v>
      </c>
      <c r="G157" s="86">
        <f t="shared" si="55"/>
        <v>40556473</v>
      </c>
      <c r="H157" s="86"/>
      <c r="I157" s="152"/>
      <c r="J157" s="38"/>
    </row>
    <row r="158" spans="1:10" ht="14.1" customHeight="1">
      <c r="A158" s="374">
        <f t="shared" si="51"/>
        <v>152</v>
      </c>
      <c r="B158" s="91"/>
      <c r="C158" s="16"/>
      <c r="D158" s="16"/>
      <c r="E158" s="16"/>
      <c r="F158" s="16"/>
      <c r="G158" s="16"/>
      <c r="H158" s="16"/>
      <c r="I158" s="17"/>
      <c r="J158" s="38"/>
    </row>
    <row r="159" spans="1:10" ht="14.1" customHeight="1">
      <c r="A159" s="374">
        <f t="shared" si="51"/>
        <v>153</v>
      </c>
      <c r="B159" s="91" t="s">
        <v>147</v>
      </c>
      <c r="C159" s="10"/>
      <c r="D159" s="19"/>
      <c r="E159" s="16"/>
      <c r="F159" s="16"/>
      <c r="G159" s="19"/>
      <c r="H159" s="19"/>
      <c r="I159" s="25"/>
      <c r="J159" s="38"/>
    </row>
    <row r="160" spans="1:10" ht="14.1" customHeight="1">
      <c r="A160" s="374">
        <f t="shared" si="51"/>
        <v>154</v>
      </c>
      <c r="B160" s="25" t="s">
        <v>148</v>
      </c>
      <c r="C160" s="10">
        <v>306803.74</v>
      </c>
      <c r="D160" s="16">
        <f>C160-E160</f>
        <v>4601.7399999999907</v>
      </c>
      <c r="E160" s="10">
        <f>ROUND(C160*'Allocation Factors'!$G$22,0)</f>
        <v>302202</v>
      </c>
      <c r="F160" s="10">
        <f>'Sch 5'!C160</f>
        <v>0</v>
      </c>
      <c r="G160" s="10">
        <f>E160+F160</f>
        <v>302202</v>
      </c>
      <c r="H160" s="10"/>
      <c r="I160" s="15" t="s">
        <v>352</v>
      </c>
      <c r="J160" s="38"/>
    </row>
    <row r="161" spans="1:10" ht="14.1" customHeight="1">
      <c r="A161" s="374">
        <f t="shared" si="51"/>
        <v>155</v>
      </c>
      <c r="B161" s="25" t="s">
        <v>149</v>
      </c>
      <c r="C161" s="10">
        <v>4677641.51</v>
      </c>
      <c r="D161" s="16">
        <f>C161-E161</f>
        <v>70164.509999999776</v>
      </c>
      <c r="E161" s="10">
        <f>ROUND(C161*'Allocation Factors'!$G$10,0)</f>
        <v>4607477</v>
      </c>
      <c r="F161" s="10">
        <f>'Sch 5'!C161</f>
        <v>0</v>
      </c>
      <c r="G161" s="10">
        <f>E161+F161</f>
        <v>4607477</v>
      </c>
      <c r="H161" s="10"/>
      <c r="I161" s="15" t="s">
        <v>341</v>
      </c>
      <c r="J161" s="38"/>
    </row>
    <row r="162" spans="1:10" ht="14.1" customHeight="1">
      <c r="A162" s="374">
        <f t="shared" si="51"/>
        <v>156</v>
      </c>
      <c r="B162" s="25" t="s">
        <v>137</v>
      </c>
      <c r="C162" s="10">
        <v>10203265.57</v>
      </c>
      <c r="D162" s="16">
        <f>C162-E162</f>
        <v>153048.5700000003</v>
      </c>
      <c r="E162" s="16">
        <f>ROUND(C162*'Allocation Factors'!$G$12,0)</f>
        <v>10050217</v>
      </c>
      <c r="F162" s="10">
        <f>'Sch 5'!C162</f>
        <v>0</v>
      </c>
      <c r="G162" s="10">
        <f>E162+F162</f>
        <v>10050217</v>
      </c>
      <c r="H162" s="10"/>
      <c r="I162" s="15" t="s">
        <v>343</v>
      </c>
      <c r="J162" s="38"/>
    </row>
    <row r="163" spans="1:10" ht="14.1" customHeight="1">
      <c r="A163" s="374">
        <f t="shared" si="51"/>
        <v>157</v>
      </c>
      <c r="B163" s="25" t="s">
        <v>150</v>
      </c>
      <c r="C163" s="10">
        <v>16851129.690000001</v>
      </c>
      <c r="D163" s="16">
        <f>C163-E163</f>
        <v>0</v>
      </c>
      <c r="E163" s="10">
        <f>C163</f>
        <v>16851129.690000001</v>
      </c>
      <c r="F163" s="10">
        <f>'Sch 5'!C163</f>
        <v>0</v>
      </c>
      <c r="G163" s="10">
        <f>E163+F163</f>
        <v>16851129.690000001</v>
      </c>
      <c r="H163" s="10"/>
      <c r="I163" s="25" t="s">
        <v>54</v>
      </c>
      <c r="J163" s="38"/>
    </row>
    <row r="164" spans="1:10" ht="14.1" customHeight="1">
      <c r="A164" s="374">
        <f t="shared" si="51"/>
        <v>158</v>
      </c>
      <c r="B164" s="52" t="s">
        <v>151</v>
      </c>
      <c r="C164" s="10">
        <v>547427.48</v>
      </c>
      <c r="D164" s="16">
        <f>C164-E164</f>
        <v>8211.4799999999814</v>
      </c>
      <c r="E164" s="43">
        <f>ROUND(C164*'Allocation Factors'!$G$22,0)</f>
        <v>539216</v>
      </c>
      <c r="F164" s="10">
        <f>'Sch 5'!C164</f>
        <v>0</v>
      </c>
      <c r="G164" s="10">
        <f>E164+F164</f>
        <v>539216</v>
      </c>
      <c r="H164" s="10"/>
      <c r="I164" s="15" t="s">
        <v>352</v>
      </c>
      <c r="J164" s="38"/>
    </row>
    <row r="165" spans="1:10" ht="14.1" customHeight="1">
      <c r="A165" s="374">
        <f t="shared" si="51"/>
        <v>159</v>
      </c>
      <c r="B165" s="91" t="s">
        <v>497</v>
      </c>
      <c r="C165" s="86">
        <f t="shared" ref="C165:G165" si="56">SUM(C160:C164)</f>
        <v>32586267.990000002</v>
      </c>
      <c r="D165" s="86">
        <f t="shared" si="56"/>
        <v>236026.30000000005</v>
      </c>
      <c r="E165" s="86">
        <f t="shared" si="56"/>
        <v>32350241.690000001</v>
      </c>
      <c r="F165" s="86">
        <f t="shared" si="56"/>
        <v>0</v>
      </c>
      <c r="G165" s="86">
        <f t="shared" si="56"/>
        <v>32350241.690000001</v>
      </c>
      <c r="H165" s="86"/>
      <c r="I165" s="154"/>
      <c r="J165" s="38"/>
    </row>
    <row r="166" spans="1:10" ht="14.1" customHeight="1">
      <c r="A166" s="374">
        <f t="shared" si="51"/>
        <v>160</v>
      </c>
      <c r="B166" s="91"/>
      <c r="C166" s="16"/>
      <c r="D166" s="16"/>
      <c r="E166" s="16"/>
      <c r="F166" s="16"/>
      <c r="G166" s="16"/>
      <c r="H166" s="16"/>
      <c r="I166" s="17"/>
      <c r="J166" s="38"/>
    </row>
    <row r="167" spans="1:10" ht="14.1" customHeight="1">
      <c r="A167" s="374">
        <f t="shared" si="51"/>
        <v>161</v>
      </c>
      <c r="B167" s="25" t="s">
        <v>332</v>
      </c>
      <c r="C167" s="16">
        <v>5520277.2400000002</v>
      </c>
      <c r="D167" s="16">
        <f>C167-E167</f>
        <v>5520277.2400000002</v>
      </c>
      <c r="E167" s="16">
        <v>0</v>
      </c>
      <c r="F167" s="10">
        <v>0</v>
      </c>
      <c r="G167" s="10">
        <f>E167+F167</f>
        <v>0</v>
      </c>
      <c r="H167" s="16"/>
      <c r="I167" s="15"/>
      <c r="J167" s="38"/>
    </row>
    <row r="168" spans="1:10" ht="14.1" customHeight="1">
      <c r="A168" s="374">
        <f t="shared" si="51"/>
        <v>162</v>
      </c>
      <c r="B168" s="52" t="s">
        <v>333</v>
      </c>
      <c r="C168" s="156">
        <v>91816.62</v>
      </c>
      <c r="D168" s="16">
        <f>C168-E168</f>
        <v>91816.62</v>
      </c>
      <c r="E168" s="10">
        <v>0</v>
      </c>
      <c r="F168" s="10">
        <v>0</v>
      </c>
      <c r="G168" s="10">
        <f>E168+F168</f>
        <v>0</v>
      </c>
      <c r="H168" s="156"/>
      <c r="I168" s="15"/>
      <c r="J168" s="38"/>
    </row>
    <row r="169" spans="1:10" ht="14.1" customHeight="1">
      <c r="A169" s="374">
        <f t="shared" si="51"/>
        <v>163</v>
      </c>
      <c r="B169" s="91" t="s">
        <v>487</v>
      </c>
      <c r="C169" s="86">
        <f>SUM(C167:C168)</f>
        <v>5612093.8600000003</v>
      </c>
      <c r="D169" s="86">
        <f t="shared" ref="D169:G169" si="57">SUM(D167:D168)</f>
        <v>5612093.8600000003</v>
      </c>
      <c r="E169" s="86">
        <f t="shared" si="57"/>
        <v>0</v>
      </c>
      <c r="F169" s="86">
        <f t="shared" si="57"/>
        <v>0</v>
      </c>
      <c r="G169" s="86">
        <f t="shared" si="57"/>
        <v>0</v>
      </c>
      <c r="H169" s="86"/>
      <c r="I169" s="152"/>
      <c r="J169" s="38"/>
    </row>
    <row r="170" spans="1:10" ht="14.1" customHeight="1">
      <c r="A170" s="374">
        <f t="shared" si="51"/>
        <v>164</v>
      </c>
      <c r="B170" s="60"/>
      <c r="C170" s="156"/>
      <c r="D170" s="156"/>
      <c r="E170" s="156"/>
      <c r="F170" s="156"/>
      <c r="G170" s="156"/>
      <c r="H170" s="156"/>
      <c r="I170" s="157"/>
      <c r="J170" s="38"/>
    </row>
    <row r="171" spans="1:10" ht="14.1" customHeight="1" thickBot="1">
      <c r="A171" s="374">
        <f t="shared" si="51"/>
        <v>165</v>
      </c>
      <c r="B171" s="54" t="s">
        <v>134</v>
      </c>
      <c r="C171" s="158">
        <f>+C169+C165+C157+C142+C124+C110+C62+C106</f>
        <v>2606538289.5999999</v>
      </c>
      <c r="D171" s="158">
        <f>+D169+D165+D157+D142+D124+D110+D62+D106</f>
        <v>45307234.76000002</v>
      </c>
      <c r="E171" s="158">
        <f t="shared" ref="E171:G171" si="58">+E169+E165+E157+E142+E124+E110+E62+E106</f>
        <v>2561231054.8400002</v>
      </c>
      <c r="F171" s="158">
        <f>+F169+F165+F157+F142+F124+F110+F62+F106</f>
        <v>-323154089</v>
      </c>
      <c r="G171" s="158">
        <f t="shared" si="58"/>
        <v>2238076965.8400002</v>
      </c>
      <c r="H171" s="93"/>
      <c r="I171" s="159"/>
      <c r="J171" s="38"/>
    </row>
    <row r="172" spans="1:10" ht="14.1" customHeight="1" thickTop="1">
      <c r="A172" s="374">
        <f t="shared" si="51"/>
        <v>166</v>
      </c>
      <c r="C172" s="10"/>
      <c r="D172" s="10"/>
      <c r="E172" s="11"/>
      <c r="F172" s="10"/>
      <c r="G172" s="10"/>
      <c r="H172" s="10"/>
      <c r="I172" s="15"/>
      <c r="J172" s="38"/>
    </row>
    <row r="173" spans="1:10" ht="14.1" customHeight="1">
      <c r="A173" s="374">
        <f t="shared" si="51"/>
        <v>167</v>
      </c>
      <c r="B173" s="91" t="s">
        <v>813</v>
      </c>
      <c r="C173" s="10">
        <f>C124+C162</f>
        <v>575197376.18000007</v>
      </c>
      <c r="D173" s="10">
        <f t="shared" ref="D173:G173" si="59">D124+D162</f>
        <v>8627960.1800000034</v>
      </c>
      <c r="E173" s="10">
        <f>E124+E162</f>
        <v>566569416</v>
      </c>
      <c r="F173" s="10">
        <f t="shared" si="59"/>
        <v>0</v>
      </c>
      <c r="G173" s="10">
        <f t="shared" si="59"/>
        <v>566569416</v>
      </c>
      <c r="H173" s="99">
        <f>ROUND(E173/C173,3)</f>
        <v>0.98499999999999999</v>
      </c>
      <c r="I173" s="15"/>
      <c r="J173" s="38"/>
    </row>
    <row r="174" spans="1:10" ht="14.1" customHeight="1">
      <c r="A174" s="374">
        <f t="shared" si="51"/>
        <v>168</v>
      </c>
      <c r="C174" s="10"/>
      <c r="D174" s="10"/>
      <c r="E174" s="11"/>
      <c r="F174" s="10"/>
      <c r="G174" s="10"/>
      <c r="H174" s="99"/>
      <c r="I174" s="15"/>
      <c r="J174" s="38"/>
    </row>
    <row r="175" spans="1:10" ht="14.1" customHeight="1">
      <c r="A175" s="374">
        <f t="shared" si="51"/>
        <v>169</v>
      </c>
      <c r="B175" s="91" t="s">
        <v>814</v>
      </c>
      <c r="C175" s="10">
        <f>C142+C163</f>
        <v>786876441.5200001</v>
      </c>
      <c r="D175" s="10">
        <f t="shared" ref="D175:G175" si="60">D142+D163</f>
        <v>954275.68</v>
      </c>
      <c r="E175" s="10">
        <f>E142+E163</f>
        <v>785922165.84000003</v>
      </c>
      <c r="F175" s="10">
        <f t="shared" si="60"/>
        <v>0</v>
      </c>
      <c r="G175" s="10">
        <f t="shared" si="60"/>
        <v>785922165.84000003</v>
      </c>
      <c r="H175" s="99">
        <f>ROUND(E175/C175,3)</f>
        <v>0.999</v>
      </c>
      <c r="I175" s="15"/>
      <c r="J175" s="38"/>
    </row>
    <row r="176" spans="1:10" ht="14.1" customHeight="1">
      <c r="A176" s="374">
        <f t="shared" si="51"/>
        <v>170</v>
      </c>
      <c r="C176" s="10"/>
      <c r="D176" s="10"/>
      <c r="E176" s="11"/>
      <c r="F176" s="10"/>
      <c r="G176" s="10"/>
      <c r="H176" s="99"/>
      <c r="I176" s="15"/>
      <c r="J176" s="38"/>
    </row>
    <row r="177" spans="1:11" ht="14.1" customHeight="1">
      <c r="A177" s="374">
        <f t="shared" si="51"/>
        <v>171</v>
      </c>
      <c r="B177" s="91" t="s">
        <v>815</v>
      </c>
      <c r="C177" s="10">
        <f>C124+C142+C162+C163</f>
        <v>1362073817.7</v>
      </c>
      <c r="D177" s="10">
        <f t="shared" ref="D177:G177" si="61">D124+D142+D162+D163</f>
        <v>9582235.8600000031</v>
      </c>
      <c r="E177" s="10">
        <f>E124+E142+E162+E163</f>
        <v>1352491581.8400002</v>
      </c>
      <c r="F177" s="10">
        <f t="shared" si="61"/>
        <v>0</v>
      </c>
      <c r="G177" s="10">
        <f t="shared" si="61"/>
        <v>1352491581.8400002</v>
      </c>
      <c r="H177" s="99">
        <f>ROUND(E177/C177,3)</f>
        <v>0.99299999999999999</v>
      </c>
      <c r="I177" s="15"/>
      <c r="J177" s="38"/>
    </row>
    <row r="178" spans="1:11" ht="14.1" customHeight="1">
      <c r="A178" s="374">
        <f t="shared" si="51"/>
        <v>172</v>
      </c>
      <c r="C178" s="10"/>
      <c r="D178" s="10"/>
      <c r="E178" s="11"/>
      <c r="F178" s="10"/>
      <c r="G178" s="10"/>
      <c r="H178" s="99"/>
      <c r="I178" s="15"/>
      <c r="J178" s="38"/>
    </row>
    <row r="179" spans="1:11" ht="14.1" customHeight="1">
      <c r="A179" s="374">
        <f t="shared" si="51"/>
        <v>173</v>
      </c>
      <c r="B179" s="91" t="s">
        <v>794</v>
      </c>
      <c r="C179" s="16">
        <f t="shared" ref="C179:D179" si="62">C62+C110+C124+C142+C157+C165+C106</f>
        <v>2600926195.7399998</v>
      </c>
      <c r="D179" s="16">
        <f t="shared" si="62"/>
        <v>39695140.900000021</v>
      </c>
      <c r="E179" s="16">
        <f>E62+E110+E124+E142+E157+E165+E106</f>
        <v>2561231054.8400002</v>
      </c>
      <c r="F179" s="16">
        <f>F62+F110+F124+F142+F157+F165+F106</f>
        <v>-323154089</v>
      </c>
      <c r="G179" s="16">
        <f>G62+G110+G124+G142+G157+G165+G106</f>
        <v>2238076965.8400002</v>
      </c>
      <c r="H179" s="99">
        <f>ROUND(E179/C179,3)</f>
        <v>0.98499999999999999</v>
      </c>
      <c r="I179" s="160"/>
      <c r="J179" s="38"/>
    </row>
    <row r="180" spans="1:11" ht="14.1" customHeight="1">
      <c r="A180" s="374">
        <f t="shared" si="51"/>
        <v>174</v>
      </c>
      <c r="B180" s="91"/>
      <c r="C180" s="16"/>
      <c r="D180" s="16"/>
      <c r="E180" s="16"/>
      <c r="F180" s="16"/>
      <c r="G180" s="16"/>
      <c r="H180" s="100"/>
      <c r="I180" s="160"/>
      <c r="J180" s="38"/>
    </row>
    <row r="181" spans="1:11" ht="14.1" customHeight="1">
      <c r="A181" s="374">
        <f t="shared" si="51"/>
        <v>175</v>
      </c>
      <c r="B181" s="91" t="s">
        <v>812</v>
      </c>
      <c r="C181" s="16">
        <f>C106+C124+C142+C161+C162+C163+C110</f>
        <v>2539230131.4400005</v>
      </c>
      <c r="D181" s="16">
        <f t="shared" ref="D181:G181" si="63">D106+D124+D142+D161+D162+D163+D110</f>
        <v>38689861.600000016</v>
      </c>
      <c r="E181" s="16">
        <f t="shared" si="63"/>
        <v>2500540269.8400002</v>
      </c>
      <c r="F181" s="16">
        <f t="shared" si="63"/>
        <v>-323154089</v>
      </c>
      <c r="G181" s="16">
        <f t="shared" si="63"/>
        <v>2177386180.8400002</v>
      </c>
      <c r="H181" s="99">
        <f>ROUND(E181/C181,3)</f>
        <v>0.98499999999999999</v>
      </c>
      <c r="I181" s="160"/>
      <c r="J181" s="38"/>
    </row>
    <row r="182" spans="1:11" ht="14.1" customHeight="1">
      <c r="A182" s="374">
        <f t="shared" si="51"/>
        <v>176</v>
      </c>
      <c r="C182" s="10"/>
      <c r="D182" s="10"/>
      <c r="E182" s="11"/>
      <c r="F182" s="10"/>
      <c r="G182" s="10"/>
      <c r="H182" s="10"/>
      <c r="I182" s="15"/>
      <c r="J182" s="38"/>
    </row>
    <row r="183" spans="1:11" ht="14.1" customHeight="1">
      <c r="A183" s="374">
        <f>+A172+1</f>
        <v>167</v>
      </c>
      <c r="B183" s="3" t="s">
        <v>135</v>
      </c>
      <c r="C183" s="10"/>
      <c r="D183" s="19"/>
      <c r="E183" s="10"/>
      <c r="F183" s="10"/>
      <c r="G183" s="10"/>
      <c r="H183" s="10"/>
      <c r="I183" s="15"/>
      <c r="J183" s="38"/>
    </row>
    <row r="184" spans="1:11" ht="14.1" customHeight="1">
      <c r="A184" s="374">
        <f t="shared" ref="A184:A246" si="64">+A183+1</f>
        <v>168</v>
      </c>
      <c r="B184" s="89" t="s">
        <v>136</v>
      </c>
      <c r="C184" s="10">
        <f>421953976-62843</f>
        <v>421891133</v>
      </c>
      <c r="D184" s="10">
        <f>C184-E184</f>
        <v>6328367</v>
      </c>
      <c r="E184" s="10">
        <f>ROUND(C184*'Allocation Factors'!$G$10,0)</f>
        <v>415562766</v>
      </c>
      <c r="F184" s="10">
        <f>'Sch 5'!C174</f>
        <v>-93260268</v>
      </c>
      <c r="G184" s="10">
        <f>E184+F184</f>
        <v>322302498</v>
      </c>
      <c r="H184" s="10"/>
      <c r="I184" s="15" t="s">
        <v>341</v>
      </c>
      <c r="J184" s="38"/>
    </row>
    <row r="185" spans="1:11" ht="14.1" customHeight="1">
      <c r="A185" s="374">
        <f t="shared" si="64"/>
        <v>169</v>
      </c>
      <c r="B185" s="22" t="s">
        <v>145</v>
      </c>
      <c r="C185" s="10">
        <f>196109648-564225</f>
        <v>195545423</v>
      </c>
      <c r="D185" s="10">
        <f>C185-E185</f>
        <v>1871936</v>
      </c>
      <c r="E185" s="10">
        <f>ROUND((C185+J185)*'Allocation Factors'!$G$16,0)</f>
        <v>193673487</v>
      </c>
      <c r="F185" s="10">
        <f>'Sch 5'!C175</f>
        <v>0</v>
      </c>
      <c r="G185" s="10">
        <f>E185+F185</f>
        <v>193673487</v>
      </c>
      <c r="H185" s="10"/>
      <c r="I185" s="15" t="s">
        <v>346</v>
      </c>
      <c r="J185" s="38">
        <v>1077406</v>
      </c>
      <c r="K185" s="89" t="s">
        <v>851</v>
      </c>
    </row>
    <row r="186" spans="1:11" ht="14.1" customHeight="1">
      <c r="A186" s="374">
        <f t="shared" si="64"/>
        <v>170</v>
      </c>
      <c r="B186" s="22" t="s">
        <v>138</v>
      </c>
      <c r="C186" s="10">
        <f>230470069-1149841</f>
        <v>229320228</v>
      </c>
      <c r="D186" s="10">
        <f>C186-E186</f>
        <v>229320</v>
      </c>
      <c r="E186" s="10">
        <f>ROUND(C186*'Allocation Factors'!$G$18,0)</f>
        <v>229090908</v>
      </c>
      <c r="F186" s="10">
        <f>'Sch 5'!C176</f>
        <v>0</v>
      </c>
      <c r="G186" s="10">
        <f>E186+F186</f>
        <v>229090908</v>
      </c>
      <c r="H186" s="10"/>
      <c r="I186" s="25" t="s">
        <v>348</v>
      </c>
      <c r="J186" s="38"/>
    </row>
    <row r="187" spans="1:11" ht="13.5" customHeight="1">
      <c r="A187" s="374">
        <f t="shared" si="64"/>
        <v>171</v>
      </c>
      <c r="B187" s="22" t="s">
        <v>139</v>
      </c>
      <c r="C187" s="10">
        <f>11879714-103347</f>
        <v>11776367</v>
      </c>
      <c r="D187" s="10">
        <f>C187-E187</f>
        <v>176646</v>
      </c>
      <c r="E187" s="10">
        <f>ROUND(C187*'Allocation Factors'!$G$22,0)</f>
        <v>11599721</v>
      </c>
      <c r="F187" s="10">
        <f>'Sch 5'!C177</f>
        <v>0</v>
      </c>
      <c r="G187" s="10">
        <f>E187+F187</f>
        <v>11599721</v>
      </c>
      <c r="H187" s="10"/>
      <c r="I187" s="15" t="s">
        <v>352</v>
      </c>
      <c r="J187" s="38"/>
    </row>
    <row r="188" spans="1:11" ht="14.1" customHeight="1">
      <c r="A188" s="374">
        <f t="shared" si="64"/>
        <v>172</v>
      </c>
      <c r="B188" s="91" t="s">
        <v>488</v>
      </c>
      <c r="C188" s="86">
        <f t="shared" ref="C188:G188" si="65">SUM(C184:C187)</f>
        <v>858533151</v>
      </c>
      <c r="D188" s="86">
        <f t="shared" si="65"/>
        <v>8606269</v>
      </c>
      <c r="E188" s="86">
        <f t="shared" si="65"/>
        <v>849926882</v>
      </c>
      <c r="F188" s="86">
        <f t="shared" si="65"/>
        <v>-93260268</v>
      </c>
      <c r="G188" s="86">
        <f t="shared" si="65"/>
        <v>756666614</v>
      </c>
      <c r="H188" s="47"/>
      <c r="I188" s="152"/>
      <c r="J188" s="38"/>
    </row>
    <row r="189" spans="1:11" ht="14.1" customHeight="1">
      <c r="A189" s="374">
        <f t="shared" si="64"/>
        <v>173</v>
      </c>
      <c r="B189" s="25"/>
      <c r="C189" s="16"/>
      <c r="D189" s="16"/>
      <c r="E189" s="135"/>
      <c r="F189" s="16"/>
      <c r="G189" s="43"/>
      <c r="H189" s="43"/>
      <c r="I189" s="161"/>
      <c r="J189" s="38"/>
    </row>
    <row r="190" spans="1:11" ht="14.1" customHeight="1">
      <c r="A190" s="374">
        <f t="shared" si="64"/>
        <v>174</v>
      </c>
      <c r="B190" s="91" t="s">
        <v>140</v>
      </c>
      <c r="C190" s="16"/>
      <c r="D190" s="16"/>
      <c r="E190" s="16"/>
      <c r="F190" s="16"/>
      <c r="G190" s="10"/>
      <c r="H190" s="10"/>
      <c r="I190" s="15"/>
      <c r="J190" s="38"/>
    </row>
    <row r="191" spans="1:11" ht="14.1" customHeight="1">
      <c r="A191" s="374">
        <f t="shared" si="64"/>
        <v>175</v>
      </c>
      <c r="B191" s="22" t="s">
        <v>143</v>
      </c>
      <c r="C191" s="10">
        <v>10634117</v>
      </c>
      <c r="D191" s="43">
        <f>C191-E191</f>
        <v>159512</v>
      </c>
      <c r="E191" s="10">
        <f>ROUND(C191*'Allocation Factors'!$G$10,0)</f>
        <v>10474605</v>
      </c>
      <c r="F191" s="10">
        <f>'Sch 5'!C181</f>
        <v>0</v>
      </c>
      <c r="G191" s="10">
        <f>E191+F191</f>
        <v>10474605</v>
      </c>
      <c r="H191" s="10"/>
      <c r="I191" s="15" t="s">
        <v>352</v>
      </c>
    </row>
    <row r="192" spans="1:11" ht="14.1" customHeight="1">
      <c r="A192" s="374">
        <f t="shared" si="64"/>
        <v>176</v>
      </c>
      <c r="B192" s="22" t="s">
        <v>136</v>
      </c>
      <c r="C192" s="10">
        <v>0</v>
      </c>
      <c r="D192" s="43">
        <f>C192-E192</f>
        <v>3892950</v>
      </c>
      <c r="E192" s="10">
        <f>ROUND((C192+J192)*'Allocation Factors'!$G$10,0)</f>
        <v>-3892950</v>
      </c>
      <c r="F192" s="10">
        <f>'Sch 5'!C182</f>
        <v>0</v>
      </c>
      <c r="G192" s="10">
        <f>E192+F192</f>
        <v>-3892950</v>
      </c>
      <c r="H192" s="10"/>
      <c r="I192" s="15" t="s">
        <v>341</v>
      </c>
      <c r="J192" s="38">
        <v>-3952233</v>
      </c>
      <c r="K192" s="89" t="s">
        <v>852</v>
      </c>
    </row>
    <row r="193" spans="1:10" ht="14.1" customHeight="1">
      <c r="A193" s="374">
        <f t="shared" si="64"/>
        <v>177</v>
      </c>
      <c r="B193" s="22" t="s">
        <v>137</v>
      </c>
      <c r="C193" s="43">
        <v>0</v>
      </c>
      <c r="D193" s="43">
        <f>C193-E193</f>
        <v>0</v>
      </c>
      <c r="E193" s="43">
        <v>0</v>
      </c>
      <c r="F193" s="10">
        <f>'Sch 5'!C183</f>
        <v>0</v>
      </c>
      <c r="G193" s="43">
        <v>0</v>
      </c>
      <c r="H193" s="43"/>
      <c r="I193" s="15"/>
      <c r="J193" s="38"/>
    </row>
    <row r="194" spans="1:10" ht="14.1" customHeight="1">
      <c r="A194" s="374">
        <f t="shared" si="64"/>
        <v>178</v>
      </c>
      <c r="B194" s="22" t="s">
        <v>138</v>
      </c>
      <c r="C194" s="43">
        <v>0</v>
      </c>
      <c r="D194" s="43">
        <f>C194-E194</f>
        <v>0</v>
      </c>
      <c r="E194" s="43">
        <v>0</v>
      </c>
      <c r="F194" s="10">
        <f>'Sch 5'!C184</f>
        <v>0</v>
      </c>
      <c r="G194" s="43">
        <v>0</v>
      </c>
      <c r="H194" s="43"/>
      <c r="I194" s="15"/>
      <c r="J194" s="38"/>
    </row>
    <row r="195" spans="1:10" s="18" customFormat="1" ht="14.1" customHeight="1">
      <c r="A195" s="374">
        <f t="shared" si="64"/>
        <v>179</v>
      </c>
      <c r="B195" s="56" t="s">
        <v>139</v>
      </c>
      <c r="C195" s="64">
        <v>1315861</v>
      </c>
      <c r="D195" s="64">
        <f>C195-E195</f>
        <v>19738</v>
      </c>
      <c r="E195" s="64">
        <f>ROUND(C195*'Allocation Factors'!$G$22,0)</f>
        <v>1296123</v>
      </c>
      <c r="F195" s="64">
        <f>'Sch 5'!C185</f>
        <v>0</v>
      </c>
      <c r="G195" s="64">
        <f>E195+F195</f>
        <v>1296123</v>
      </c>
      <c r="H195" s="64"/>
      <c r="I195" s="140" t="s">
        <v>352</v>
      </c>
      <c r="J195" s="38"/>
    </row>
    <row r="196" spans="1:10" ht="14.1" customHeight="1">
      <c r="A196" s="374">
        <f t="shared" si="64"/>
        <v>180</v>
      </c>
      <c r="B196" s="91" t="s">
        <v>492</v>
      </c>
      <c r="C196" s="16">
        <f t="shared" ref="C196:G196" si="66">SUM(C191:C195)</f>
        <v>11949978</v>
      </c>
      <c r="D196" s="16">
        <f t="shared" si="66"/>
        <v>4072200</v>
      </c>
      <c r="E196" s="16">
        <f t="shared" si="66"/>
        <v>7877778</v>
      </c>
      <c r="F196" s="16">
        <f t="shared" si="66"/>
        <v>0</v>
      </c>
      <c r="G196" s="16">
        <f t="shared" si="66"/>
        <v>7877778</v>
      </c>
      <c r="H196" s="16"/>
      <c r="I196" s="17"/>
      <c r="J196" s="38"/>
    </row>
    <row r="197" spans="1:10" ht="14.1" customHeight="1">
      <c r="A197" s="374">
        <f t="shared" si="64"/>
        <v>181</v>
      </c>
      <c r="B197" s="25"/>
      <c r="C197" s="16"/>
      <c r="D197" s="16"/>
      <c r="E197" s="135"/>
      <c r="F197" s="16"/>
      <c r="G197" s="43"/>
      <c r="H197" s="43"/>
      <c r="I197" s="15"/>
      <c r="J197" s="38"/>
    </row>
    <row r="198" spans="1:10" ht="14.1" customHeight="1">
      <c r="A198" s="374">
        <f t="shared" si="64"/>
        <v>182</v>
      </c>
      <c r="B198" s="52" t="s">
        <v>331</v>
      </c>
      <c r="C198" s="156">
        <v>2991600.34</v>
      </c>
      <c r="D198" s="64">
        <f>C198-E198</f>
        <v>2991600.34</v>
      </c>
      <c r="E198" s="64">
        <v>0</v>
      </c>
      <c r="F198" s="64">
        <f>'Sch 5'!C188</f>
        <v>0</v>
      </c>
      <c r="G198" s="64">
        <v>0</v>
      </c>
      <c r="H198" s="64"/>
      <c r="I198" s="140"/>
      <c r="J198" s="38"/>
    </row>
    <row r="199" spans="1:10" ht="14.1" customHeight="1">
      <c r="A199" s="374">
        <f t="shared" si="64"/>
        <v>183</v>
      </c>
      <c r="B199" s="91" t="s">
        <v>495</v>
      </c>
      <c r="C199" s="16">
        <f>SUM(C198:C198)</f>
        <v>2991600.34</v>
      </c>
      <c r="D199" s="16">
        <f t="shared" ref="D199:G199" si="67">SUM(D198:D198)</f>
        <v>2991600.34</v>
      </c>
      <c r="E199" s="16">
        <f t="shared" si="67"/>
        <v>0</v>
      </c>
      <c r="F199" s="16">
        <f t="shared" si="67"/>
        <v>0</v>
      </c>
      <c r="G199" s="16">
        <f t="shared" si="67"/>
        <v>0</v>
      </c>
      <c r="H199" s="43"/>
      <c r="I199" s="15"/>
      <c r="J199" s="38"/>
    </row>
    <row r="200" spans="1:10" ht="14.1" customHeight="1">
      <c r="A200" s="374">
        <f t="shared" si="64"/>
        <v>184</v>
      </c>
      <c r="B200" s="52"/>
      <c r="C200" s="156"/>
      <c r="D200" s="156"/>
      <c r="E200" s="58"/>
      <c r="F200" s="156"/>
      <c r="G200" s="64"/>
      <c r="H200" s="64"/>
      <c r="I200" s="140"/>
      <c r="J200" s="38"/>
    </row>
    <row r="201" spans="1:10" ht="14.1" customHeight="1">
      <c r="A201" s="374">
        <f t="shared" si="64"/>
        <v>185</v>
      </c>
      <c r="B201" s="91" t="s">
        <v>525</v>
      </c>
      <c r="C201" s="16">
        <f>C196+C188+C199</f>
        <v>873474729.34000003</v>
      </c>
      <c r="D201" s="16">
        <f>D196+D188+D199</f>
        <v>15670069.34</v>
      </c>
      <c r="E201" s="16">
        <f>E196+E188+E199</f>
        <v>857804660</v>
      </c>
      <c r="F201" s="16">
        <f>F196+F188</f>
        <v>-93260268</v>
      </c>
      <c r="G201" s="16">
        <f>G196+G188</f>
        <v>764544392</v>
      </c>
      <c r="H201" s="16"/>
      <c r="I201" s="17"/>
      <c r="J201" s="38"/>
    </row>
    <row r="202" spans="1:10" ht="14.1" customHeight="1">
      <c r="A202" s="374">
        <f t="shared" si="64"/>
        <v>186</v>
      </c>
      <c r="B202" s="52"/>
      <c r="C202" s="156"/>
      <c r="D202" s="156"/>
      <c r="E202" s="58"/>
      <c r="F202" s="156"/>
      <c r="G202" s="64"/>
      <c r="H202" s="64"/>
      <c r="I202" s="140"/>
      <c r="J202" s="38"/>
    </row>
    <row r="203" spans="1:10" ht="14.1" customHeight="1" thickBot="1">
      <c r="A203" s="374">
        <f t="shared" si="64"/>
        <v>187</v>
      </c>
      <c r="B203" s="5" t="s">
        <v>141</v>
      </c>
      <c r="C203" s="162">
        <f>+C171-C201</f>
        <v>1733063560.2599998</v>
      </c>
      <c r="D203" s="143">
        <f t="shared" ref="D203:G203" si="68">+D171-D201</f>
        <v>29637165.42000002</v>
      </c>
      <c r="E203" s="162">
        <f>+E171-E201</f>
        <v>1703426394.8400002</v>
      </c>
      <c r="F203" s="143">
        <f t="shared" si="68"/>
        <v>-229893821</v>
      </c>
      <c r="G203" s="143">
        <f t="shared" si="68"/>
        <v>1473532573.8400002</v>
      </c>
      <c r="H203" s="143"/>
      <c r="I203" s="163"/>
      <c r="J203" s="38"/>
    </row>
    <row r="204" spans="1:10" ht="14.1" customHeight="1" thickTop="1">
      <c r="A204" s="374">
        <f t="shared" si="64"/>
        <v>188</v>
      </c>
      <c r="B204" s="25"/>
      <c r="C204" s="16"/>
      <c r="D204" s="16"/>
      <c r="E204" s="135"/>
      <c r="F204" s="16"/>
      <c r="G204" s="16"/>
      <c r="H204" s="16"/>
      <c r="I204" s="17"/>
      <c r="J204" s="38"/>
    </row>
    <row r="205" spans="1:10" ht="14.1" customHeight="1">
      <c r="A205" s="374">
        <f t="shared" si="64"/>
        <v>189</v>
      </c>
      <c r="B205" s="13" t="s">
        <v>142</v>
      </c>
      <c r="C205" s="10"/>
      <c r="D205" s="10"/>
      <c r="E205" s="10"/>
      <c r="F205" s="10"/>
      <c r="G205" s="10"/>
      <c r="H205" s="10"/>
      <c r="I205" s="15"/>
      <c r="J205" s="38"/>
    </row>
    <row r="206" spans="1:10" ht="14.1" customHeight="1">
      <c r="A206" s="374">
        <f t="shared" si="64"/>
        <v>190</v>
      </c>
      <c r="B206" s="22" t="s">
        <v>143</v>
      </c>
      <c r="C206" s="10">
        <v>932217</v>
      </c>
      <c r="D206" s="43">
        <f>C206-E206</f>
        <v>932217</v>
      </c>
      <c r="E206" s="43">
        <v>0</v>
      </c>
      <c r="F206" s="10"/>
      <c r="G206" s="10"/>
      <c r="H206" s="10"/>
      <c r="I206" s="15"/>
      <c r="J206" s="38"/>
    </row>
    <row r="207" spans="1:10" ht="14.1" customHeight="1">
      <c r="A207" s="374">
        <f t="shared" si="64"/>
        <v>191</v>
      </c>
      <c r="B207" s="56" t="s">
        <v>55</v>
      </c>
      <c r="C207" s="10">
        <v>0</v>
      </c>
      <c r="D207" s="43">
        <f>C207-E207</f>
        <v>0</v>
      </c>
      <c r="E207" s="10">
        <v>0</v>
      </c>
      <c r="F207" s="10"/>
      <c r="G207" s="10"/>
      <c r="H207" s="10"/>
      <c r="I207" s="15"/>
      <c r="J207" s="38">
        <v>0</v>
      </c>
    </row>
    <row r="208" spans="1:10" ht="14.1" customHeight="1">
      <c r="A208" s="374">
        <f t="shared" si="64"/>
        <v>192</v>
      </c>
      <c r="B208" s="13" t="s">
        <v>528</v>
      </c>
      <c r="C208" s="47">
        <f t="shared" ref="C208:G208" si="69">SUM(C206:C207)</f>
        <v>932217</v>
      </c>
      <c r="D208" s="47">
        <f t="shared" si="69"/>
        <v>932217</v>
      </c>
      <c r="E208" s="47">
        <f t="shared" si="69"/>
        <v>0</v>
      </c>
      <c r="F208" s="47">
        <f t="shared" si="69"/>
        <v>0</v>
      </c>
      <c r="G208" s="47">
        <f t="shared" si="69"/>
        <v>0</v>
      </c>
      <c r="H208" s="47"/>
      <c r="I208" s="49"/>
      <c r="J208" s="38"/>
    </row>
    <row r="209" spans="1:10" ht="14.1" customHeight="1">
      <c r="A209" s="374">
        <f t="shared" si="64"/>
        <v>193</v>
      </c>
      <c r="B209" s="22"/>
      <c r="C209" s="43"/>
      <c r="D209" s="43"/>
      <c r="E209" s="43"/>
      <c r="F209" s="43"/>
      <c r="G209" s="43"/>
      <c r="H209" s="43"/>
      <c r="I209" s="15"/>
      <c r="J209" s="38"/>
    </row>
    <row r="210" spans="1:10" ht="14.1" customHeight="1">
      <c r="A210" s="374">
        <f t="shared" si="64"/>
        <v>194</v>
      </c>
      <c r="B210" s="22" t="s">
        <v>136</v>
      </c>
      <c r="C210" s="10">
        <v>6309230</v>
      </c>
      <c r="D210" s="10">
        <f>C210-E210</f>
        <v>94638</v>
      </c>
      <c r="E210" s="10">
        <f>ROUND(C210*'Allocation Factors'!$G$10,0)</f>
        <v>6214592</v>
      </c>
      <c r="F210" s="10">
        <f>'Sch 5'!C200</f>
        <v>0</v>
      </c>
      <c r="G210" s="10">
        <f>E210+F210</f>
        <v>6214592</v>
      </c>
      <c r="H210" s="10"/>
      <c r="I210" s="15" t="s">
        <v>341</v>
      </c>
      <c r="J210" s="38"/>
    </row>
    <row r="211" spans="1:10" ht="14.1" customHeight="1">
      <c r="A211" s="374">
        <f t="shared" si="64"/>
        <v>195</v>
      </c>
      <c r="B211" s="56" t="s">
        <v>144</v>
      </c>
      <c r="C211" s="10">
        <v>84051</v>
      </c>
      <c r="D211" s="10">
        <f>C211-E211</f>
        <v>1261</v>
      </c>
      <c r="E211" s="10">
        <f>ROUND(C211*'Allocation Factors'!$G$10,0)</f>
        <v>82790</v>
      </c>
      <c r="F211" s="10">
        <f>'Sch 5'!C201</f>
        <v>0</v>
      </c>
      <c r="G211" s="10">
        <f>E211+F211</f>
        <v>82790</v>
      </c>
      <c r="H211" s="10"/>
      <c r="I211" s="15" t="s">
        <v>341</v>
      </c>
      <c r="J211" s="38">
        <v>0</v>
      </c>
    </row>
    <row r="212" spans="1:10" ht="14.1" customHeight="1">
      <c r="A212" s="374">
        <f t="shared" si="64"/>
        <v>196</v>
      </c>
      <c r="B212" s="91" t="s">
        <v>494</v>
      </c>
      <c r="C212" s="47">
        <f t="shared" ref="C212:G212" si="70">SUM(C210:C211)</f>
        <v>6393281</v>
      </c>
      <c r="D212" s="47">
        <f t="shared" si="70"/>
        <v>95899</v>
      </c>
      <c r="E212" s="47">
        <f t="shared" si="70"/>
        <v>6297382</v>
      </c>
      <c r="F212" s="47">
        <f t="shared" si="70"/>
        <v>0</v>
      </c>
      <c r="G212" s="47">
        <f t="shared" si="70"/>
        <v>6297382</v>
      </c>
      <c r="H212" s="47"/>
      <c r="I212" s="164"/>
      <c r="J212" s="38"/>
    </row>
    <row r="213" spans="1:10" ht="14.1" customHeight="1">
      <c r="A213" s="374">
        <f t="shared" si="64"/>
        <v>197</v>
      </c>
      <c r="B213" s="25"/>
      <c r="C213" s="43"/>
      <c r="D213" s="16"/>
      <c r="E213" s="43"/>
      <c r="F213" s="43"/>
      <c r="G213" s="43"/>
      <c r="H213" s="43"/>
      <c r="I213" s="15"/>
      <c r="J213" s="38"/>
    </row>
    <row r="214" spans="1:10" ht="14.1" customHeight="1">
      <c r="A214" s="374">
        <f t="shared" si="64"/>
        <v>198</v>
      </c>
      <c r="B214" s="22" t="s">
        <v>145</v>
      </c>
      <c r="C214" s="10">
        <v>9346842</v>
      </c>
      <c r="D214" s="10">
        <f>C214-E214</f>
        <v>140203</v>
      </c>
      <c r="E214" s="10">
        <f>ROUND(C214*'Allocation Factors'!$G$16,0)</f>
        <v>9206639</v>
      </c>
      <c r="F214" s="10">
        <f>'Sch 5'!C204</f>
        <v>0</v>
      </c>
      <c r="G214" s="10">
        <f>E214+F214</f>
        <v>9206639</v>
      </c>
      <c r="H214" s="10"/>
      <c r="I214" s="15" t="s">
        <v>346</v>
      </c>
      <c r="J214" s="38"/>
    </row>
    <row r="215" spans="1:10" ht="14.1" customHeight="1">
      <c r="A215" s="374">
        <f t="shared" si="64"/>
        <v>199</v>
      </c>
      <c r="B215" s="52" t="s">
        <v>55</v>
      </c>
      <c r="C215" s="10">
        <v>338907</v>
      </c>
      <c r="D215" s="10">
        <f>C215-E215</f>
        <v>5084</v>
      </c>
      <c r="E215" s="10">
        <f>ROUND(C215*'Allocation Factors'!$G$16,0)</f>
        <v>333823</v>
      </c>
      <c r="F215" s="10">
        <f>'Sch 5'!C205</f>
        <v>0</v>
      </c>
      <c r="G215" s="10">
        <f>E215+F215</f>
        <v>333823</v>
      </c>
      <c r="H215" s="10"/>
      <c r="I215" s="15"/>
      <c r="J215" s="38">
        <v>0</v>
      </c>
    </row>
    <row r="216" spans="1:10" ht="14.1" customHeight="1">
      <c r="A216" s="374">
        <f t="shared" si="64"/>
        <v>200</v>
      </c>
      <c r="B216" s="13" t="s">
        <v>489</v>
      </c>
      <c r="C216" s="47">
        <f t="shared" ref="C216:G216" si="71">SUM(C214:C215)</f>
        <v>9685749</v>
      </c>
      <c r="D216" s="47">
        <f t="shared" si="71"/>
        <v>145287</v>
      </c>
      <c r="E216" s="47">
        <f t="shared" si="71"/>
        <v>9540462</v>
      </c>
      <c r="F216" s="47">
        <f t="shared" si="71"/>
        <v>0</v>
      </c>
      <c r="G216" s="47">
        <f t="shared" si="71"/>
        <v>9540462</v>
      </c>
      <c r="H216" s="47"/>
      <c r="I216" s="164"/>
      <c r="J216" s="38"/>
    </row>
    <row r="217" spans="1:10" ht="14.1" customHeight="1">
      <c r="A217" s="374">
        <f t="shared" si="64"/>
        <v>201</v>
      </c>
      <c r="B217" s="22"/>
      <c r="C217" s="43"/>
      <c r="D217" s="16"/>
      <c r="E217" s="43"/>
      <c r="F217" s="43"/>
      <c r="G217" s="43"/>
      <c r="H217" s="43"/>
      <c r="I217" s="15"/>
      <c r="J217" s="38"/>
    </row>
    <row r="218" spans="1:10" s="18" customFormat="1" ht="14.1" customHeight="1">
      <c r="A218" s="374">
        <f t="shared" si="64"/>
        <v>202</v>
      </c>
      <c r="B218" s="22" t="s">
        <v>138</v>
      </c>
      <c r="C218" s="10">
        <v>7487203</v>
      </c>
      <c r="D218" s="10">
        <f>C218-E218</f>
        <v>7487</v>
      </c>
      <c r="E218" s="10">
        <f>ROUND(C218*'Allocation Factors'!$G$18,0)</f>
        <v>7479716</v>
      </c>
      <c r="F218" s="10">
        <f>'Sch 5'!C208</f>
        <v>0</v>
      </c>
      <c r="G218" s="10">
        <f>E218+F218</f>
        <v>7479716</v>
      </c>
      <c r="H218" s="10"/>
      <c r="I218" s="25" t="s">
        <v>348</v>
      </c>
      <c r="J218" s="38"/>
    </row>
    <row r="219" spans="1:10" s="18" customFormat="1" ht="14.1" customHeight="1">
      <c r="A219" s="374">
        <f t="shared" si="64"/>
        <v>203</v>
      </c>
      <c r="B219" s="56" t="s">
        <v>55</v>
      </c>
      <c r="C219" s="10">
        <v>328737</v>
      </c>
      <c r="D219" s="10">
        <f>C219-E219</f>
        <v>329</v>
      </c>
      <c r="E219" s="10">
        <f>ROUND(C219*'Allocation Factors'!$G$18,0)</f>
        <v>328408</v>
      </c>
      <c r="F219" s="10">
        <f>'Sch 5'!C209</f>
        <v>0</v>
      </c>
      <c r="G219" s="10">
        <f>E219+F219</f>
        <v>328408</v>
      </c>
      <c r="H219" s="10"/>
      <c r="I219" s="25"/>
      <c r="J219" s="38">
        <v>0</v>
      </c>
    </row>
    <row r="220" spans="1:10" s="18" customFormat="1" ht="14.1" customHeight="1">
      <c r="A220" s="374">
        <f t="shared" si="64"/>
        <v>204</v>
      </c>
      <c r="B220" s="13" t="s">
        <v>490</v>
      </c>
      <c r="C220" s="47">
        <f t="shared" ref="C220:G220" si="72">SUM(C218:C219)</f>
        <v>7815940</v>
      </c>
      <c r="D220" s="47">
        <f t="shared" si="72"/>
        <v>7816</v>
      </c>
      <c r="E220" s="47">
        <f t="shared" si="72"/>
        <v>7808124</v>
      </c>
      <c r="F220" s="47">
        <f t="shared" si="72"/>
        <v>0</v>
      </c>
      <c r="G220" s="47">
        <f t="shared" si="72"/>
        <v>7808124</v>
      </c>
      <c r="H220" s="47"/>
      <c r="I220" s="164"/>
      <c r="J220" s="38"/>
    </row>
    <row r="221" spans="1:10" s="18" customFormat="1" ht="14.1" customHeight="1">
      <c r="A221" s="374">
        <f t="shared" si="64"/>
        <v>205</v>
      </c>
      <c r="B221" s="22"/>
      <c r="C221" s="43"/>
      <c r="D221" s="16"/>
      <c r="E221" s="43"/>
      <c r="F221" s="43"/>
      <c r="G221" s="16"/>
      <c r="H221" s="16"/>
      <c r="I221" s="25"/>
      <c r="J221" s="38"/>
    </row>
    <row r="222" spans="1:10" s="18" customFormat="1" ht="14.1" customHeight="1">
      <c r="A222" s="374">
        <f t="shared" si="64"/>
        <v>206</v>
      </c>
      <c r="B222" s="22" t="s">
        <v>139</v>
      </c>
      <c r="C222" s="10">
        <v>3090311</v>
      </c>
      <c r="D222" s="10">
        <f>C222-E222</f>
        <v>46355</v>
      </c>
      <c r="E222" s="10">
        <f>ROUND(C222*'Allocation Factors'!$G$22,0)</f>
        <v>3043956</v>
      </c>
      <c r="F222" s="10">
        <f>'Sch 5'!C212</f>
        <v>0</v>
      </c>
      <c r="G222" s="10">
        <f>E222+F222</f>
        <v>3043956</v>
      </c>
      <c r="H222" s="10"/>
      <c r="I222" s="15" t="s">
        <v>352</v>
      </c>
      <c r="J222" s="38"/>
    </row>
    <row r="223" spans="1:10" s="18" customFormat="1" ht="14.1" customHeight="1">
      <c r="A223" s="374">
        <f t="shared" si="64"/>
        <v>207</v>
      </c>
      <c r="B223" s="56" t="s">
        <v>55</v>
      </c>
      <c r="C223" s="10">
        <v>47515</v>
      </c>
      <c r="D223" s="10">
        <f>C223-E223</f>
        <v>713</v>
      </c>
      <c r="E223" s="10">
        <f>ROUND(C223*'Allocation Factors'!$G$22,0)</f>
        <v>46802</v>
      </c>
      <c r="F223" s="10">
        <f>'Sch 5'!C213</f>
        <v>0</v>
      </c>
      <c r="G223" s="10">
        <f>E223+F223</f>
        <v>46802</v>
      </c>
      <c r="H223" s="10"/>
      <c r="I223" s="25"/>
      <c r="J223" s="38">
        <v>0</v>
      </c>
    </row>
    <row r="224" spans="1:10" s="18" customFormat="1" ht="14.1" customHeight="1">
      <c r="A224" s="374">
        <f t="shared" si="64"/>
        <v>208</v>
      </c>
      <c r="B224" s="13" t="s">
        <v>491</v>
      </c>
      <c r="C224" s="47">
        <f t="shared" ref="C224:G224" si="73">SUM(C222:C223)</f>
        <v>3137826</v>
      </c>
      <c r="D224" s="47">
        <f t="shared" si="73"/>
        <v>47068</v>
      </c>
      <c r="E224" s="47">
        <f t="shared" si="73"/>
        <v>3090758</v>
      </c>
      <c r="F224" s="47">
        <f t="shared" si="73"/>
        <v>0</v>
      </c>
      <c r="G224" s="47">
        <f t="shared" si="73"/>
        <v>3090758</v>
      </c>
      <c r="H224" s="47"/>
      <c r="I224" s="49"/>
      <c r="J224" s="38"/>
    </row>
    <row r="225" spans="1:11" s="18" customFormat="1" ht="14.1" customHeight="1">
      <c r="A225" s="374">
        <f t="shared" si="64"/>
        <v>209</v>
      </c>
      <c r="B225" s="56"/>
      <c r="C225" s="64"/>
      <c r="D225" s="156"/>
      <c r="E225" s="64"/>
      <c r="F225" s="64"/>
      <c r="G225" s="156"/>
      <c r="H225" s="156"/>
      <c r="I225" s="52"/>
      <c r="J225" s="38"/>
    </row>
    <row r="226" spans="1:11" s="18" customFormat="1" ht="14.1" customHeight="1">
      <c r="A226" s="374">
        <f t="shared" si="64"/>
        <v>210</v>
      </c>
      <c r="B226" s="91" t="s">
        <v>146</v>
      </c>
      <c r="C226" s="16">
        <f>C212+C216+C220+C224+C208</f>
        <v>27965013</v>
      </c>
      <c r="D226" s="16">
        <f t="shared" ref="D226:G226" si="74">D206+D212+D216+D220+D224+D208</f>
        <v>2160504</v>
      </c>
      <c r="E226" s="16">
        <f t="shared" si="74"/>
        <v>26736726</v>
      </c>
      <c r="F226" s="16">
        <f t="shared" si="74"/>
        <v>0</v>
      </c>
      <c r="G226" s="16">
        <f t="shared" si="74"/>
        <v>26736726</v>
      </c>
      <c r="H226" s="16"/>
      <c r="I226" s="160"/>
      <c r="J226" s="38"/>
    </row>
    <row r="227" spans="1:11" s="18" customFormat="1" ht="14.1" customHeight="1">
      <c r="A227" s="374">
        <f t="shared" si="64"/>
        <v>211</v>
      </c>
      <c r="B227" s="91"/>
      <c r="C227" s="16"/>
      <c r="D227" s="16"/>
      <c r="E227" s="16"/>
      <c r="F227" s="16"/>
      <c r="G227" s="16"/>
      <c r="H227" s="16"/>
      <c r="I227" s="160"/>
      <c r="J227" s="38"/>
    </row>
    <row r="228" spans="1:11" s="18" customFormat="1" ht="14.1" customHeight="1">
      <c r="A228" s="374">
        <f t="shared" si="64"/>
        <v>212</v>
      </c>
      <c r="B228" s="91" t="s">
        <v>846</v>
      </c>
      <c r="C228" s="16">
        <f>C207+C211+C215+C219+C223</f>
        <v>799210</v>
      </c>
      <c r="D228" s="16">
        <f t="shared" ref="D228:G228" si="75">D207+D211+D215+D219+D223</f>
        <v>7387</v>
      </c>
      <c r="E228" s="16">
        <f t="shared" si="75"/>
        <v>791823</v>
      </c>
      <c r="F228" s="16">
        <f t="shared" si="75"/>
        <v>0</v>
      </c>
      <c r="G228" s="16">
        <f t="shared" si="75"/>
        <v>791823</v>
      </c>
      <c r="H228" s="16"/>
      <c r="I228" s="160"/>
      <c r="J228" s="38"/>
    </row>
    <row r="229" spans="1:11" s="18" customFormat="1" ht="14.1" customHeight="1">
      <c r="A229" s="374">
        <f t="shared" si="64"/>
        <v>213</v>
      </c>
      <c r="B229" s="91" t="s">
        <v>845</v>
      </c>
      <c r="C229" s="16">
        <f>C206+C210+C214+C218+C222</f>
        <v>27165803</v>
      </c>
      <c r="D229" s="16">
        <f t="shared" ref="D229:G229" si="76">D206+D210+D214+D218+D222</f>
        <v>1220900</v>
      </c>
      <c r="E229" s="16">
        <f t="shared" si="76"/>
        <v>25944903</v>
      </c>
      <c r="F229" s="16">
        <f t="shared" si="76"/>
        <v>0</v>
      </c>
      <c r="G229" s="16">
        <f t="shared" si="76"/>
        <v>25944903</v>
      </c>
      <c r="H229" s="16"/>
      <c r="I229" s="160"/>
      <c r="J229" s="38"/>
    </row>
    <row r="230" spans="1:11" s="18" customFormat="1" ht="14.1" customHeight="1">
      <c r="A230" s="374">
        <f t="shared" si="64"/>
        <v>214</v>
      </c>
      <c r="B230" s="25"/>
      <c r="C230" s="16"/>
      <c r="D230" s="16"/>
      <c r="E230" s="135"/>
      <c r="F230" s="16"/>
      <c r="G230" s="19"/>
      <c r="H230" s="19"/>
      <c r="I230" s="25"/>
      <c r="J230" s="38"/>
    </row>
    <row r="231" spans="1:11" ht="14.1" customHeight="1">
      <c r="A231" s="374">
        <f t="shared" si="64"/>
        <v>215</v>
      </c>
      <c r="B231" s="13" t="s">
        <v>152</v>
      </c>
      <c r="C231" s="10"/>
      <c r="D231" s="10"/>
      <c r="E231" s="10"/>
      <c r="F231" s="10"/>
      <c r="G231" s="10"/>
      <c r="H231" s="10"/>
      <c r="I231" s="15"/>
      <c r="J231" s="38"/>
    </row>
    <row r="232" spans="1:11" ht="14.1" customHeight="1">
      <c r="A232" s="374">
        <f t="shared" si="64"/>
        <v>216</v>
      </c>
      <c r="B232" s="22" t="s">
        <v>136</v>
      </c>
      <c r="C232" s="10">
        <v>5675900.0199999996</v>
      </c>
      <c r="D232" s="10">
        <f>C232-E232</f>
        <v>5675900.0199999996</v>
      </c>
      <c r="E232" s="16">
        <v>0</v>
      </c>
      <c r="F232" s="10">
        <f>'Sch 5'!C219</f>
        <v>0</v>
      </c>
      <c r="G232" s="10">
        <f>E232+F232</f>
        <v>0</v>
      </c>
      <c r="H232" s="10"/>
      <c r="I232" s="25" t="s">
        <v>378</v>
      </c>
      <c r="J232" s="38">
        <v>5675900.0199999996</v>
      </c>
      <c r="K232" s="89" t="s">
        <v>401</v>
      </c>
    </row>
    <row r="233" spans="1:11" ht="14.1" customHeight="1">
      <c r="A233" s="374">
        <f t="shared" si="64"/>
        <v>217</v>
      </c>
      <c r="B233" s="22" t="s">
        <v>145</v>
      </c>
      <c r="C233" s="10">
        <v>0</v>
      </c>
      <c r="D233" s="10">
        <f>C233-E233</f>
        <v>0</v>
      </c>
      <c r="E233" s="16">
        <f>ROUND(C233*'Allocation Factors'!$G$12,0)</f>
        <v>0</v>
      </c>
      <c r="F233" s="10">
        <f>'Sch 5'!C220</f>
        <v>0</v>
      </c>
      <c r="G233" s="10">
        <f>E233+F233</f>
        <v>0</v>
      </c>
      <c r="H233" s="10"/>
      <c r="I233" s="15" t="s">
        <v>343</v>
      </c>
      <c r="J233" s="38"/>
    </row>
    <row r="234" spans="1:11" ht="14.1" customHeight="1">
      <c r="A234" s="374">
        <f t="shared" si="64"/>
        <v>218</v>
      </c>
      <c r="B234" s="22" t="s">
        <v>138</v>
      </c>
      <c r="C234" s="10">
        <v>627603.73</v>
      </c>
      <c r="D234" s="10">
        <f>C234-E234</f>
        <v>627.72999999998137</v>
      </c>
      <c r="E234" s="16">
        <f>ROUND(C234*'Allocation Factors'!$G$18,0)</f>
        <v>626976</v>
      </c>
      <c r="F234" s="10">
        <f>'Sch 5'!C221</f>
        <v>0</v>
      </c>
      <c r="G234" s="10">
        <f>E234+F234</f>
        <v>626976</v>
      </c>
      <c r="H234" s="10"/>
      <c r="I234" s="25" t="s">
        <v>348</v>
      </c>
      <c r="J234" s="38"/>
    </row>
    <row r="235" spans="1:11" ht="14.1" customHeight="1">
      <c r="A235" s="374">
        <f t="shared" si="64"/>
        <v>219</v>
      </c>
      <c r="B235" s="56" t="s">
        <v>139</v>
      </c>
      <c r="C235" s="10">
        <v>0</v>
      </c>
      <c r="D235" s="10">
        <f>C235-E235</f>
        <v>0</v>
      </c>
      <c r="E235" s="10">
        <f>ROUND(C235*'Allocation Factors'!$G$22,0)</f>
        <v>0</v>
      </c>
      <c r="F235" s="10">
        <f>'Sch 5'!C222</f>
        <v>0</v>
      </c>
      <c r="G235" s="10">
        <f>E235+F235</f>
        <v>0</v>
      </c>
      <c r="H235" s="10"/>
      <c r="I235" s="15" t="s">
        <v>352</v>
      </c>
      <c r="J235" s="38"/>
    </row>
    <row r="236" spans="1:11" ht="14.1" customHeight="1">
      <c r="A236" s="374">
        <f t="shared" si="64"/>
        <v>220</v>
      </c>
      <c r="B236" s="91" t="s">
        <v>496</v>
      </c>
      <c r="C236" s="86">
        <f>SUM(C232:C235)</f>
        <v>6303503.75</v>
      </c>
      <c r="D236" s="86">
        <f t="shared" ref="D236:F236" si="77">SUM(D232:D235)</f>
        <v>5676527.75</v>
      </c>
      <c r="E236" s="86">
        <f t="shared" si="77"/>
        <v>626976</v>
      </c>
      <c r="F236" s="86">
        <f t="shared" si="77"/>
        <v>0</v>
      </c>
      <c r="G236" s="86">
        <f>G232+G233+G234+G235</f>
        <v>626976</v>
      </c>
      <c r="H236" s="86"/>
      <c r="I236" s="152"/>
      <c r="J236" s="38"/>
    </row>
    <row r="237" spans="1:11" ht="14.1" customHeight="1">
      <c r="A237" s="374">
        <f t="shared" si="64"/>
        <v>221</v>
      </c>
      <c r="B237" s="25"/>
      <c r="C237" s="16"/>
      <c r="D237" s="16"/>
      <c r="E237" s="135"/>
      <c r="F237" s="16"/>
      <c r="G237" s="16"/>
      <c r="H237" s="16"/>
      <c r="I237" s="17"/>
      <c r="J237" s="38"/>
    </row>
    <row r="238" spans="1:11" s="18" customFormat="1" ht="14.1" customHeight="1">
      <c r="A238" s="374">
        <f t="shared" si="64"/>
        <v>222</v>
      </c>
      <c r="B238" s="13" t="s">
        <v>374</v>
      </c>
      <c r="C238" s="10"/>
      <c r="D238" s="10"/>
      <c r="E238" s="10"/>
      <c r="F238" s="10"/>
      <c r="G238" s="19"/>
      <c r="H238" s="19"/>
      <c r="I238" s="25"/>
      <c r="J238" s="38"/>
    </row>
    <row r="239" spans="1:11" ht="14.1" customHeight="1">
      <c r="A239" s="374">
        <f t="shared" si="64"/>
        <v>223</v>
      </c>
      <c r="B239" s="22" t="s">
        <v>153</v>
      </c>
      <c r="C239" s="10">
        <f>16759551.42+642725.1+-37495.45+1750239.81+744404.98+9370786.8+32713.25</f>
        <v>29262925.91</v>
      </c>
      <c r="D239" s="10">
        <f>C239-E239</f>
        <v>409680.91000000015</v>
      </c>
      <c r="E239" s="10">
        <f>ROUND(C239*'Allocation Factors'!$G$14,0)</f>
        <v>28853245</v>
      </c>
      <c r="F239" s="10">
        <f>'Sch 5'!C226</f>
        <v>-6709111</v>
      </c>
      <c r="G239" s="10">
        <f t="shared" ref="G239:G248" si="78">E239+F239</f>
        <v>22144134</v>
      </c>
      <c r="H239" s="10"/>
      <c r="I239" s="15" t="s">
        <v>344</v>
      </c>
      <c r="J239" s="38"/>
    </row>
    <row r="240" spans="1:11" ht="14.1" customHeight="1">
      <c r="A240" s="374">
        <f t="shared" si="64"/>
        <v>224</v>
      </c>
      <c r="B240" s="22" t="s">
        <v>155</v>
      </c>
      <c r="C240" s="10">
        <v>11620993</v>
      </c>
      <c r="D240" s="10">
        <f>C240-E240</f>
        <v>174315</v>
      </c>
      <c r="E240" s="10">
        <f>ROUND(C240*'Allocation Factors'!$G$10,0)</f>
        <v>11446678</v>
      </c>
      <c r="F240" s="10">
        <f>'Sch 5'!C227</f>
        <v>0</v>
      </c>
      <c r="G240" s="10">
        <f t="shared" si="78"/>
        <v>11446678</v>
      </c>
      <c r="H240" s="10"/>
      <c r="I240" s="15" t="s">
        <v>341</v>
      </c>
      <c r="J240" s="38"/>
    </row>
    <row r="241" spans="1:10" ht="14.1" customHeight="1">
      <c r="A241" s="374">
        <f t="shared" si="64"/>
        <v>225</v>
      </c>
      <c r="B241" s="22" t="s">
        <v>155</v>
      </c>
      <c r="C241" s="10">
        <v>1969143</v>
      </c>
      <c r="D241" s="10">
        <f>C241-E241</f>
        <v>27568</v>
      </c>
      <c r="E241" s="10">
        <f>ROUND(C241*'Allocation Factors'!$G$14,0)</f>
        <v>1941575</v>
      </c>
      <c r="F241" s="10">
        <f>'Sch 5'!C228</f>
        <v>-1610192</v>
      </c>
      <c r="G241" s="10">
        <f t="shared" si="78"/>
        <v>331383</v>
      </c>
      <c r="H241" s="10"/>
      <c r="I241" s="15" t="s">
        <v>344</v>
      </c>
      <c r="J241" s="38"/>
    </row>
    <row r="242" spans="1:10" ht="14.1" customHeight="1">
      <c r="A242" s="374">
        <f t="shared" si="64"/>
        <v>226</v>
      </c>
      <c r="B242" s="22" t="s">
        <v>156</v>
      </c>
      <c r="C242" s="10">
        <v>356945</v>
      </c>
      <c r="D242" s="10">
        <f>C242-E242</f>
        <v>5354</v>
      </c>
      <c r="E242" s="10">
        <f>ROUND(C242*'Allocation Factors'!$G$16,0)</f>
        <v>351591</v>
      </c>
      <c r="F242" s="10">
        <f>'Sch 5'!C229</f>
        <v>0</v>
      </c>
      <c r="G242" s="10">
        <f t="shared" si="78"/>
        <v>351591</v>
      </c>
      <c r="H242" s="10"/>
      <c r="I242" s="15" t="s">
        <v>346</v>
      </c>
      <c r="J242" s="38"/>
    </row>
    <row r="243" spans="1:10" ht="14.1" customHeight="1">
      <c r="A243" s="374">
        <f t="shared" si="64"/>
        <v>227</v>
      </c>
      <c r="B243" s="56" t="s">
        <v>157</v>
      </c>
      <c r="C243" s="64">
        <v>2072862</v>
      </c>
      <c r="D243" s="64">
        <f>C243-E243</f>
        <v>2073</v>
      </c>
      <c r="E243" s="64">
        <f>ROUND(C243*'Allocation Factors'!$G$18,0)</f>
        <v>2070789</v>
      </c>
      <c r="F243" s="64">
        <f>'Sch 5'!C230</f>
        <v>0</v>
      </c>
      <c r="G243" s="64">
        <f t="shared" si="78"/>
        <v>2070789</v>
      </c>
      <c r="H243" s="64"/>
      <c r="I243" s="140" t="s">
        <v>348</v>
      </c>
      <c r="J243" s="38"/>
    </row>
    <row r="244" spans="1:10" ht="14.1" customHeight="1">
      <c r="A244" s="374">
        <f t="shared" si="64"/>
        <v>228</v>
      </c>
      <c r="B244" s="13" t="s">
        <v>526</v>
      </c>
      <c r="C244" s="10">
        <f t="shared" ref="C244:G244" si="79">SUM(C239:C243)</f>
        <v>45282868.909999996</v>
      </c>
      <c r="D244" s="10">
        <f t="shared" si="79"/>
        <v>618990.91000000015</v>
      </c>
      <c r="E244" s="10">
        <f t="shared" si="79"/>
        <v>44663878</v>
      </c>
      <c r="F244" s="10">
        <f t="shared" si="79"/>
        <v>-8319303</v>
      </c>
      <c r="G244" s="10">
        <f t="shared" si="79"/>
        <v>36344575</v>
      </c>
      <c r="H244" s="10"/>
      <c r="I244" s="15"/>
      <c r="J244" s="38"/>
    </row>
    <row r="245" spans="1:10" ht="14.1" customHeight="1">
      <c r="A245" s="374">
        <f t="shared" si="64"/>
        <v>229</v>
      </c>
      <c r="B245" s="22"/>
      <c r="C245" s="10"/>
      <c r="D245" s="10"/>
      <c r="E245" s="10"/>
      <c r="F245" s="10"/>
      <c r="G245" s="10"/>
      <c r="H245" s="10"/>
      <c r="I245" s="15"/>
      <c r="J245" s="38"/>
    </row>
    <row r="246" spans="1:10" ht="14.1" customHeight="1">
      <c r="A246" s="374">
        <f t="shared" si="64"/>
        <v>230</v>
      </c>
      <c r="B246" s="13" t="s">
        <v>373</v>
      </c>
      <c r="C246" s="10"/>
      <c r="D246" s="10"/>
      <c r="E246" s="10"/>
      <c r="F246" s="10"/>
      <c r="G246" s="10"/>
      <c r="H246" s="10"/>
      <c r="I246" s="15"/>
      <c r="J246" s="38"/>
    </row>
    <row r="247" spans="1:10" ht="14.1" customHeight="1">
      <c r="A247" s="374">
        <f t="shared" ref="A247:A310" si="80">+A246+1</f>
        <v>231</v>
      </c>
      <c r="B247" s="22" t="s">
        <v>896</v>
      </c>
      <c r="C247" s="10">
        <v>48706586.189999998</v>
      </c>
      <c r="D247" s="10">
        <f>C247-E247</f>
        <v>730599.18999999762</v>
      </c>
      <c r="E247" s="10">
        <f>ROUND(C247*'Allocation Factors'!$G$24,0)</f>
        <v>47975987</v>
      </c>
      <c r="F247" s="10">
        <f>'Sch 5'!C234</f>
        <v>0</v>
      </c>
      <c r="G247" s="10">
        <f t="shared" si="78"/>
        <v>47975987</v>
      </c>
      <c r="H247" s="10"/>
      <c r="I247" s="15" t="s">
        <v>354</v>
      </c>
      <c r="J247" s="38"/>
    </row>
    <row r="248" spans="1:10" ht="14.1" customHeight="1">
      <c r="A248" s="374">
        <f t="shared" si="80"/>
        <v>232</v>
      </c>
      <c r="B248" s="56" t="s">
        <v>159</v>
      </c>
      <c r="C248" s="10">
        <v>1959118.68</v>
      </c>
      <c r="D248" s="10">
        <f>C248-E248</f>
        <v>29386.679999999935</v>
      </c>
      <c r="E248" s="10">
        <f>ROUND(C248*'Allocation Factors'!$G$24,0)</f>
        <v>1929732</v>
      </c>
      <c r="F248" s="10">
        <f>'Sch 5'!C235</f>
        <v>0</v>
      </c>
      <c r="G248" s="10">
        <f t="shared" si="78"/>
        <v>1929732</v>
      </c>
      <c r="H248" s="10"/>
      <c r="I248" s="15" t="s">
        <v>354</v>
      </c>
      <c r="J248" s="38"/>
    </row>
    <row r="249" spans="1:10" ht="14.1" customHeight="1">
      <c r="A249" s="374">
        <f t="shared" si="80"/>
        <v>233</v>
      </c>
      <c r="B249" s="13" t="s">
        <v>527</v>
      </c>
      <c r="C249" s="86">
        <f>SUM(C247:C248)</f>
        <v>50665704.869999997</v>
      </c>
      <c r="D249" s="86">
        <f t="shared" ref="D249:G249" si="81">SUM(D247:D248)</f>
        <v>759985.86999999755</v>
      </c>
      <c r="E249" s="86">
        <f t="shared" si="81"/>
        <v>49905719</v>
      </c>
      <c r="F249" s="86">
        <f t="shared" si="81"/>
        <v>0</v>
      </c>
      <c r="G249" s="86">
        <f t="shared" si="81"/>
        <v>49905719</v>
      </c>
      <c r="H249" s="86"/>
      <c r="I249" s="152"/>
      <c r="J249" s="38"/>
    </row>
    <row r="250" spans="1:10" ht="14.1" customHeight="1">
      <c r="A250" s="374">
        <f t="shared" si="80"/>
        <v>234</v>
      </c>
      <c r="B250" s="25"/>
      <c r="C250" s="16"/>
      <c r="D250" s="16"/>
      <c r="E250" s="135"/>
      <c r="F250" s="16"/>
      <c r="G250" s="43"/>
      <c r="H250" s="43"/>
      <c r="I250" s="15"/>
      <c r="J250" s="38"/>
    </row>
    <row r="251" spans="1:10" ht="14.1" customHeight="1">
      <c r="A251" s="374">
        <f t="shared" si="80"/>
        <v>235</v>
      </c>
      <c r="B251" s="25"/>
      <c r="C251" s="16"/>
      <c r="D251" s="16"/>
      <c r="E251" s="16"/>
      <c r="F251" s="16"/>
      <c r="G251" s="10"/>
      <c r="H251" s="10"/>
      <c r="I251" s="15"/>
      <c r="J251" s="38"/>
    </row>
    <row r="252" spans="1:10" ht="14.1" customHeight="1">
      <c r="A252" s="374">
        <f t="shared" si="80"/>
        <v>236</v>
      </c>
      <c r="B252" s="13" t="s">
        <v>160</v>
      </c>
      <c r="C252" s="10"/>
      <c r="D252" s="10"/>
      <c r="E252" s="10"/>
      <c r="F252" s="10"/>
      <c r="G252" s="10"/>
      <c r="H252" s="10"/>
      <c r="I252" s="15"/>
      <c r="J252" s="38"/>
    </row>
    <row r="253" spans="1:10" s="18" customFormat="1" ht="14.1" customHeight="1">
      <c r="A253" s="374">
        <f t="shared" si="80"/>
        <v>237</v>
      </c>
      <c r="B253" s="22" t="s">
        <v>973</v>
      </c>
      <c r="C253" s="10">
        <v>-502756787</v>
      </c>
      <c r="D253" s="10">
        <f t="shared" ref="D253:D258" si="82">C253-E253</f>
        <v>-7541352</v>
      </c>
      <c r="E253" s="165">
        <f>ROUND(C253*'Allocation Factors'!$G$24,0)</f>
        <v>-495215435</v>
      </c>
      <c r="F253" s="10">
        <f>'Sch 5'!C240</f>
        <v>111131327</v>
      </c>
      <c r="G253" s="10">
        <f t="shared" ref="G253:G258" si="83">E253+F253</f>
        <v>-384084108</v>
      </c>
      <c r="H253" s="10"/>
      <c r="I253" s="25" t="s">
        <v>354</v>
      </c>
      <c r="J253" s="38"/>
    </row>
    <row r="254" spans="1:10" s="18" customFormat="1" ht="14.1" customHeight="1">
      <c r="A254" s="374">
        <f t="shared" si="80"/>
        <v>238</v>
      </c>
      <c r="B254" s="22" t="s">
        <v>162</v>
      </c>
      <c r="C254" s="10">
        <v>0</v>
      </c>
      <c r="D254" s="10">
        <f t="shared" si="82"/>
        <v>0</v>
      </c>
      <c r="E254" s="10">
        <v>0</v>
      </c>
      <c r="F254" s="10">
        <f>'Sch 5'!C241</f>
        <v>0</v>
      </c>
      <c r="G254" s="10">
        <f t="shared" si="83"/>
        <v>0</v>
      </c>
      <c r="H254" s="10"/>
      <c r="I254" s="25" t="s">
        <v>54</v>
      </c>
      <c r="J254" s="38"/>
    </row>
    <row r="255" spans="1:10" s="18" customFormat="1" ht="14.1" customHeight="1">
      <c r="A255" s="374">
        <f t="shared" si="80"/>
        <v>239</v>
      </c>
      <c r="B255" s="22" t="s">
        <v>163</v>
      </c>
      <c r="C255" s="10">
        <v>-1250</v>
      </c>
      <c r="D255" s="10">
        <f t="shared" si="82"/>
        <v>-1250</v>
      </c>
      <c r="E255" s="10">
        <v>0</v>
      </c>
      <c r="F255" s="10">
        <f>'Sch 5'!C242</f>
        <v>0</v>
      </c>
      <c r="G255" s="10">
        <f t="shared" si="83"/>
        <v>0</v>
      </c>
      <c r="H255" s="10"/>
      <c r="I255" s="25" t="s">
        <v>54</v>
      </c>
      <c r="J255" s="38"/>
    </row>
    <row r="256" spans="1:10" s="18" customFormat="1" ht="14.1" customHeight="1">
      <c r="A256" s="374">
        <f t="shared" si="80"/>
        <v>240</v>
      </c>
      <c r="B256" s="22" t="s">
        <v>376</v>
      </c>
      <c r="C256" s="10">
        <v>-159525.68</v>
      </c>
      <c r="D256" s="10">
        <f t="shared" si="82"/>
        <v>0.32000000000698492</v>
      </c>
      <c r="E256" s="10">
        <f>ROUND(C256*'Allocation Factors'!$G$34,0)</f>
        <v>-159526</v>
      </c>
      <c r="F256" s="10">
        <f>'Sch 5'!C243</f>
        <v>0</v>
      </c>
      <c r="G256" s="10">
        <f t="shared" si="83"/>
        <v>-159526</v>
      </c>
      <c r="H256" s="10"/>
      <c r="I256" s="25" t="s">
        <v>378</v>
      </c>
      <c r="J256" s="38"/>
    </row>
    <row r="257" spans="1:10" ht="14.1" customHeight="1">
      <c r="A257" s="374">
        <f t="shared" si="80"/>
        <v>241</v>
      </c>
      <c r="B257" s="22" t="s">
        <v>164</v>
      </c>
      <c r="C257" s="10">
        <v>-26917350.440000001</v>
      </c>
      <c r="D257" s="10">
        <f t="shared" si="82"/>
        <v>-0.44000000134110451</v>
      </c>
      <c r="E257" s="10">
        <f>ROUND(C257*'Allocation Factors'!$G$34,0)</f>
        <v>-26917350</v>
      </c>
      <c r="F257" s="10">
        <f>'Sch 5'!C244</f>
        <v>0</v>
      </c>
      <c r="G257" s="10">
        <f t="shared" si="83"/>
        <v>-26917350</v>
      </c>
      <c r="H257" s="10"/>
      <c r="I257" s="25" t="s">
        <v>378</v>
      </c>
      <c r="J257" s="38"/>
    </row>
    <row r="258" spans="1:10" ht="14.1" customHeight="1">
      <c r="A258" s="374">
        <f t="shared" si="80"/>
        <v>242</v>
      </c>
      <c r="B258" s="56" t="s">
        <v>165</v>
      </c>
      <c r="C258" s="64">
        <v>0</v>
      </c>
      <c r="D258" s="64">
        <f t="shared" si="82"/>
        <v>0</v>
      </c>
      <c r="E258" s="64">
        <v>0</v>
      </c>
      <c r="F258" s="64">
        <f>'Sch 5'!C245</f>
        <v>0</v>
      </c>
      <c r="G258" s="64">
        <f t="shared" si="83"/>
        <v>0</v>
      </c>
      <c r="H258" s="64"/>
      <c r="I258" s="52" t="s">
        <v>54</v>
      </c>
      <c r="J258" s="38"/>
    </row>
    <row r="259" spans="1:10" ht="14.1" customHeight="1">
      <c r="A259" s="374">
        <f t="shared" si="80"/>
        <v>243</v>
      </c>
      <c r="B259" s="91" t="s">
        <v>166</v>
      </c>
      <c r="C259" s="16">
        <f t="shared" ref="C259:G259" si="84">SUM(C253:C258)</f>
        <v>-529834913.12</v>
      </c>
      <c r="D259" s="16">
        <f t="shared" si="84"/>
        <v>-7542602.120000001</v>
      </c>
      <c r="E259" s="16">
        <f>SUM(E253:E258)</f>
        <v>-522292311</v>
      </c>
      <c r="F259" s="16">
        <f t="shared" si="84"/>
        <v>111131327</v>
      </c>
      <c r="G259" s="16">
        <f t="shared" si="84"/>
        <v>-411160984</v>
      </c>
      <c r="H259" s="16"/>
      <c r="I259" s="160"/>
      <c r="J259" s="38"/>
    </row>
    <row r="260" spans="1:10" ht="14.1" customHeight="1">
      <c r="A260" s="374">
        <f t="shared" si="80"/>
        <v>244</v>
      </c>
      <c r="B260" s="52"/>
      <c r="C260" s="16"/>
      <c r="D260" s="16"/>
      <c r="E260" s="16"/>
      <c r="F260" s="16"/>
      <c r="G260" s="16"/>
      <c r="H260" s="16"/>
      <c r="I260" s="160"/>
      <c r="J260" s="38"/>
    </row>
    <row r="261" spans="1:10" s="3" customFormat="1" ht="14.1" customHeight="1" thickBot="1">
      <c r="A261" s="374">
        <f t="shared" si="80"/>
        <v>245</v>
      </c>
      <c r="B261" s="54" t="s">
        <v>982</v>
      </c>
      <c r="C261" s="92">
        <f>C203+C229+C236+C244+C249+C259</f>
        <v>1332646527.6699996</v>
      </c>
      <c r="D261" s="92">
        <f t="shared" ref="D261:F261" si="85">D203+D229+D236+D244+D249+D259</f>
        <v>30370967.830000009</v>
      </c>
      <c r="E261" s="92">
        <f t="shared" si="85"/>
        <v>1302275559.8400002</v>
      </c>
      <c r="F261" s="92">
        <f t="shared" si="85"/>
        <v>-127081797</v>
      </c>
      <c r="G261" s="92">
        <f>G203+G229+G236+G244+G249+G259</f>
        <v>1175193762.8400002</v>
      </c>
      <c r="H261" s="92"/>
      <c r="I261" s="55"/>
      <c r="J261" s="38"/>
    </row>
    <row r="262" spans="1:10" ht="13.5" customHeight="1" thickTop="1">
      <c r="A262" s="374">
        <f t="shared" si="80"/>
        <v>246</v>
      </c>
      <c r="B262" s="65"/>
      <c r="C262" s="65"/>
      <c r="D262" s="43"/>
      <c r="E262" s="43"/>
      <c r="F262" s="43"/>
      <c r="G262" s="43"/>
      <c r="H262" s="43"/>
      <c r="I262" s="15"/>
      <c r="J262" s="38"/>
    </row>
    <row r="263" spans="1:10" ht="13.5" customHeight="1">
      <c r="A263" s="374">
        <f t="shared" si="80"/>
        <v>247</v>
      </c>
      <c r="B263" s="22"/>
      <c r="C263" s="10"/>
      <c r="D263" s="10"/>
      <c r="E263" s="10"/>
      <c r="F263" s="10"/>
      <c r="G263" s="10"/>
      <c r="H263" s="10"/>
      <c r="I263" s="15"/>
      <c r="J263" s="38"/>
    </row>
    <row r="264" spans="1:10" ht="14.1" customHeight="1">
      <c r="A264" s="374">
        <f t="shared" si="80"/>
        <v>248</v>
      </c>
      <c r="B264" s="134" t="s">
        <v>318</v>
      </c>
      <c r="C264" s="10">
        <f>239053369.74+313116338.36+1980970.5</f>
        <v>554150678.60000002</v>
      </c>
      <c r="D264" s="19">
        <f>C264-E264</f>
        <v>0</v>
      </c>
      <c r="E264" s="16">
        <f>C264</f>
        <v>554150678.60000002</v>
      </c>
      <c r="F264" s="10">
        <f>'Sch 5'!C251</f>
        <v>-54616175.950000003</v>
      </c>
      <c r="G264" s="10">
        <f>E264+F264</f>
        <v>499534502.65000004</v>
      </c>
      <c r="H264" s="10"/>
      <c r="I264" s="15" t="s">
        <v>54</v>
      </c>
      <c r="J264" s="38"/>
    </row>
    <row r="265" spans="1:10" ht="14.1" customHeight="1">
      <c r="A265" s="374">
        <f t="shared" si="80"/>
        <v>249</v>
      </c>
      <c r="B265" s="134" t="s">
        <v>368</v>
      </c>
      <c r="C265" s="10">
        <f>2268561.36+2693583.49+74939.93</f>
        <v>5037084.7799999993</v>
      </c>
      <c r="D265" s="19">
        <f>C265</f>
        <v>5037084.7799999993</v>
      </c>
      <c r="E265" s="16">
        <f>C265-D265</f>
        <v>0</v>
      </c>
      <c r="F265" s="10">
        <f>'Sch 5'!C252</f>
        <v>0</v>
      </c>
      <c r="G265" s="10">
        <f>E265+F265</f>
        <v>0</v>
      </c>
      <c r="H265" s="10"/>
      <c r="I265" s="15" t="s">
        <v>54</v>
      </c>
      <c r="J265" s="38"/>
    </row>
    <row r="266" spans="1:10" ht="14.1" customHeight="1">
      <c r="A266" s="374">
        <f t="shared" si="80"/>
        <v>250</v>
      </c>
      <c r="B266" s="134" t="s">
        <v>15</v>
      </c>
      <c r="C266" s="10">
        <f>-760364.02+-35930.78+-306040.83</f>
        <v>-1102335.6300000001</v>
      </c>
      <c r="D266" s="19">
        <f>C266</f>
        <v>-1102335.6300000001</v>
      </c>
      <c r="E266" s="16">
        <f>C266-D266</f>
        <v>0</v>
      </c>
      <c r="F266" s="10"/>
      <c r="G266" s="10"/>
      <c r="H266" s="10"/>
      <c r="I266" s="15"/>
      <c r="J266" s="38"/>
    </row>
    <row r="267" spans="1:10" ht="14.1" customHeight="1">
      <c r="A267" s="374">
        <f t="shared" si="80"/>
        <v>251</v>
      </c>
      <c r="B267" s="134"/>
      <c r="C267" s="10"/>
      <c r="D267" s="19"/>
      <c r="E267" s="19"/>
      <c r="G267" s="10"/>
      <c r="H267" s="10"/>
      <c r="I267" s="15"/>
      <c r="J267" s="38"/>
    </row>
    <row r="268" spans="1:10" ht="14.1" customHeight="1">
      <c r="A268" s="374">
        <f t="shared" si="80"/>
        <v>252</v>
      </c>
      <c r="B268" s="3" t="s">
        <v>168</v>
      </c>
      <c r="C268" s="10"/>
      <c r="D268" s="19"/>
      <c r="E268" s="19"/>
      <c r="G268" s="10"/>
      <c r="H268" s="10"/>
      <c r="I268" s="15"/>
      <c r="J268" s="38"/>
    </row>
    <row r="269" spans="1:10" ht="14.1" customHeight="1">
      <c r="A269" s="374">
        <f t="shared" si="80"/>
        <v>253</v>
      </c>
      <c r="B269" s="89" t="s">
        <v>169</v>
      </c>
      <c r="C269" s="10">
        <v>0</v>
      </c>
      <c r="D269" s="19">
        <f>C269-E269</f>
        <v>0</v>
      </c>
      <c r="E269" s="19">
        <v>0</v>
      </c>
      <c r="F269" s="10">
        <f>'Sch 5'!C256</f>
        <v>0</v>
      </c>
      <c r="G269" s="10">
        <f>E269+F269</f>
        <v>0</v>
      </c>
      <c r="H269" s="10"/>
      <c r="I269" s="15"/>
      <c r="J269" s="38"/>
    </row>
    <row r="270" spans="1:10" ht="14.1" customHeight="1">
      <c r="A270" s="374">
        <f t="shared" si="80"/>
        <v>254</v>
      </c>
      <c r="B270" s="89" t="s">
        <v>170</v>
      </c>
      <c r="C270" s="10">
        <f>52045999.08-C265</f>
        <v>47008914.299999997</v>
      </c>
      <c r="D270" s="19">
        <f>C270-E270</f>
        <v>658124.80020000041</v>
      </c>
      <c r="E270" s="16">
        <f>(C270*'Allocation Factors'!G14)</f>
        <v>46350789.499799997</v>
      </c>
      <c r="F270" s="10">
        <f>'Sch 5'!C257</f>
        <v>-3993185.1</v>
      </c>
      <c r="G270" s="10">
        <f>E270+F270</f>
        <v>42357604.399799995</v>
      </c>
      <c r="H270" s="10"/>
      <c r="I270" s="15" t="s">
        <v>344</v>
      </c>
      <c r="J270" s="38"/>
    </row>
    <row r="271" spans="1:10" ht="14.1" customHeight="1">
      <c r="A271" s="374">
        <f t="shared" si="80"/>
        <v>255</v>
      </c>
      <c r="B271" s="56" t="s">
        <v>171</v>
      </c>
      <c r="C271" s="10">
        <v>0</v>
      </c>
      <c r="D271" s="19">
        <f>C271-E271</f>
        <v>0</v>
      </c>
      <c r="E271" s="19">
        <v>0</v>
      </c>
      <c r="F271" s="10">
        <f>'Sch 5'!C258</f>
        <v>0</v>
      </c>
      <c r="G271" s="10">
        <f>E271+F271</f>
        <v>0</v>
      </c>
      <c r="H271" s="10"/>
      <c r="I271" s="15"/>
      <c r="J271" s="38"/>
    </row>
    <row r="272" spans="1:10" ht="14.1" customHeight="1">
      <c r="A272" s="374">
        <f t="shared" si="80"/>
        <v>256</v>
      </c>
      <c r="B272" s="20" t="s">
        <v>498</v>
      </c>
      <c r="C272" s="86">
        <f>+C269+C270</f>
        <v>47008914.299999997</v>
      </c>
      <c r="D272" s="86">
        <f>+D269+D270+D271</f>
        <v>658124.80020000041</v>
      </c>
      <c r="E272" s="86">
        <f>+E269+E270</f>
        <v>46350789.499799997</v>
      </c>
      <c r="F272" s="86">
        <f>+F269+F270</f>
        <v>-3993185.1</v>
      </c>
      <c r="G272" s="47">
        <f>E272+F272</f>
        <v>42357604.399799995</v>
      </c>
      <c r="H272" s="47"/>
      <c r="I272" s="152"/>
      <c r="J272" s="38"/>
    </row>
    <row r="273" spans="1:12" ht="14.1" customHeight="1">
      <c r="A273" s="374">
        <f t="shared" si="80"/>
        <v>257</v>
      </c>
      <c r="B273" s="134"/>
      <c r="C273" s="16"/>
      <c r="D273" s="16"/>
      <c r="E273" s="16"/>
      <c r="F273" s="16"/>
      <c r="G273" s="43"/>
      <c r="H273" s="43"/>
      <c r="I273" s="15"/>
      <c r="J273" s="38"/>
    </row>
    <row r="274" spans="1:12" ht="14.1" customHeight="1">
      <c r="A274" s="374">
        <f t="shared" si="80"/>
        <v>258</v>
      </c>
      <c r="B274" s="13" t="s">
        <v>172</v>
      </c>
      <c r="C274" s="43"/>
      <c r="D274" s="16"/>
      <c r="E274" s="48"/>
      <c r="F274" s="43"/>
      <c r="G274" s="43"/>
      <c r="H274" s="43"/>
      <c r="I274" s="15"/>
      <c r="J274" s="38"/>
    </row>
    <row r="275" spans="1:12" ht="14.1" customHeight="1">
      <c r="A275" s="374">
        <f t="shared" si="80"/>
        <v>259</v>
      </c>
      <c r="B275" s="22" t="s">
        <v>173</v>
      </c>
      <c r="C275" s="10">
        <v>4111894.4400000004</v>
      </c>
      <c r="D275" s="16">
        <f>ROUND(C275-E275,0)</f>
        <v>0</v>
      </c>
      <c r="E275" s="16">
        <f>ROUND(C275*'Allocation Factors'!$G$34,0)</f>
        <v>4111894</v>
      </c>
      <c r="F275" s="10">
        <f>'Sch 5'!C262</f>
        <v>0</v>
      </c>
      <c r="G275" s="10">
        <f>E275+F275</f>
        <v>4111894</v>
      </c>
      <c r="H275" s="10"/>
      <c r="I275" s="15" t="s">
        <v>362</v>
      </c>
      <c r="J275" s="38"/>
    </row>
    <row r="276" spans="1:12" ht="14.1" customHeight="1">
      <c r="A276" s="374">
        <f t="shared" si="80"/>
        <v>260</v>
      </c>
      <c r="B276" s="22" t="s">
        <v>174</v>
      </c>
      <c r="C276" s="10">
        <v>785135.76</v>
      </c>
      <c r="D276" s="16">
        <f>ROUND(C276-E276,0)</f>
        <v>0</v>
      </c>
      <c r="E276" s="16">
        <f>ROUND(C276*'Allocation Factors'!$G$34,0)</f>
        <v>785136</v>
      </c>
      <c r="F276" s="10">
        <f>'Sch 5'!C263</f>
        <v>0</v>
      </c>
      <c r="G276" s="10">
        <f>E276+F276</f>
        <v>785136</v>
      </c>
      <c r="H276" s="10"/>
      <c r="I276" s="15" t="s">
        <v>362</v>
      </c>
      <c r="J276" s="38"/>
    </row>
    <row r="277" spans="1:12" ht="14.1" customHeight="1">
      <c r="A277" s="374">
        <f t="shared" si="80"/>
        <v>261</v>
      </c>
      <c r="B277" s="13" t="s">
        <v>175</v>
      </c>
      <c r="C277" s="10"/>
      <c r="D277" s="10"/>
      <c r="E277" s="11"/>
      <c r="F277" s="10"/>
      <c r="G277" s="10"/>
      <c r="H277" s="10"/>
      <c r="I277" s="15"/>
      <c r="J277" s="38"/>
    </row>
    <row r="278" spans="1:12" s="21" customFormat="1" ht="14.1" customHeight="1">
      <c r="A278" s="374">
        <f t="shared" si="80"/>
        <v>262</v>
      </c>
      <c r="B278" s="22" t="s">
        <v>176</v>
      </c>
      <c r="C278" s="10">
        <v>0</v>
      </c>
      <c r="D278" s="10">
        <f t="shared" ref="D278:D286" si="86">C278-E278</f>
        <v>0</v>
      </c>
      <c r="E278" s="10">
        <f>ROUND(C278*'Allocation Factors'!$G$10,0)</f>
        <v>0</v>
      </c>
      <c r="F278" s="10">
        <f>'Sch 5'!C265</f>
        <v>0</v>
      </c>
      <c r="G278" s="10">
        <f t="shared" ref="G278:G286" si="87">E278+F278</f>
        <v>0</v>
      </c>
      <c r="H278" s="10"/>
      <c r="I278" s="25" t="s">
        <v>341</v>
      </c>
      <c r="J278" s="38"/>
      <c r="K278" s="89"/>
      <c r="L278" s="89"/>
    </row>
    <row r="279" spans="1:12" ht="14.1" customHeight="1">
      <c r="A279" s="374">
        <f t="shared" si="80"/>
        <v>263</v>
      </c>
      <c r="B279" s="22" t="s">
        <v>177</v>
      </c>
      <c r="C279" s="10">
        <v>-73546.759999999995</v>
      </c>
      <c r="D279" s="10">
        <f t="shared" si="86"/>
        <v>-1102.7599999999948</v>
      </c>
      <c r="E279" s="16">
        <f>ROUND(C279*'Allocation Factors'!$G$16,0)</f>
        <v>-72444</v>
      </c>
      <c r="F279" s="10">
        <f>'Sch 5'!C266</f>
        <v>0</v>
      </c>
      <c r="G279" s="10">
        <f t="shared" si="87"/>
        <v>-72444</v>
      </c>
      <c r="H279" s="10"/>
      <c r="I279" s="15" t="s">
        <v>346</v>
      </c>
      <c r="J279" s="38"/>
    </row>
    <row r="280" spans="1:12" ht="14.1" customHeight="1">
      <c r="A280" s="374">
        <f t="shared" si="80"/>
        <v>264</v>
      </c>
      <c r="B280" s="22" t="s">
        <v>178</v>
      </c>
      <c r="C280" s="10">
        <v>833388.02</v>
      </c>
      <c r="D280" s="10">
        <f t="shared" si="86"/>
        <v>833.02000000001863</v>
      </c>
      <c r="E280" s="16">
        <f>ROUND(C280*'Allocation Factors'!$G$18,0)</f>
        <v>832555</v>
      </c>
      <c r="F280" s="10">
        <f>'Sch 5'!C267</f>
        <v>0</v>
      </c>
      <c r="G280" s="10">
        <f t="shared" si="87"/>
        <v>832555</v>
      </c>
      <c r="H280" s="10"/>
      <c r="I280" s="15" t="s">
        <v>348</v>
      </c>
      <c r="J280" s="38"/>
    </row>
    <row r="281" spans="1:12" ht="14.1" customHeight="1">
      <c r="A281" s="374">
        <f t="shared" si="80"/>
        <v>265</v>
      </c>
      <c r="B281" s="22" t="s">
        <v>179</v>
      </c>
      <c r="C281" s="10">
        <v>62888.95</v>
      </c>
      <c r="D281" s="10">
        <f t="shared" si="86"/>
        <v>942.94999999999709</v>
      </c>
      <c r="E281" s="16">
        <f>ROUND(C281*'Allocation Factors'!$G$10,0)</f>
        <v>61946</v>
      </c>
      <c r="F281" s="10">
        <f>'Sch 5'!C268</f>
        <v>0</v>
      </c>
      <c r="G281" s="10">
        <f t="shared" si="87"/>
        <v>61946</v>
      </c>
      <c r="H281" s="10"/>
      <c r="I281" s="15" t="s">
        <v>341</v>
      </c>
      <c r="J281" s="38"/>
    </row>
    <row r="282" spans="1:12" ht="14.1" customHeight="1">
      <c r="A282" s="374">
        <f t="shared" si="80"/>
        <v>266</v>
      </c>
      <c r="B282" s="22" t="s">
        <v>180</v>
      </c>
      <c r="C282" s="10">
        <v>22200</v>
      </c>
      <c r="D282" s="10">
        <f t="shared" si="86"/>
        <v>333</v>
      </c>
      <c r="E282" s="16">
        <f>ROUND(C282*'Allocation Factors'!$G$16,0)</f>
        <v>21867</v>
      </c>
      <c r="F282" s="10">
        <f>'Sch 5'!C269</f>
        <v>0</v>
      </c>
      <c r="G282" s="10">
        <f t="shared" si="87"/>
        <v>21867</v>
      </c>
      <c r="H282" s="10"/>
      <c r="I282" s="15" t="s">
        <v>346</v>
      </c>
      <c r="J282" s="38"/>
    </row>
    <row r="283" spans="1:12" ht="14.1" customHeight="1">
      <c r="A283" s="374">
        <f t="shared" si="80"/>
        <v>267</v>
      </c>
      <c r="B283" s="22" t="s">
        <v>181</v>
      </c>
      <c r="C283" s="261">
        <v>2283.3000000000002</v>
      </c>
      <c r="D283" s="10">
        <f t="shared" si="86"/>
        <v>2.3000000000001819</v>
      </c>
      <c r="E283" s="16">
        <f>ROUND(C283*'Allocation Factors'!$G$18,0)</f>
        <v>2281</v>
      </c>
      <c r="F283" s="10">
        <f>'Sch 5'!C270</f>
        <v>0</v>
      </c>
      <c r="G283" s="10">
        <f t="shared" si="87"/>
        <v>2281</v>
      </c>
      <c r="H283" s="10"/>
      <c r="I283" s="15" t="s">
        <v>348</v>
      </c>
      <c r="J283" s="38"/>
    </row>
    <row r="284" spans="1:12" ht="14.1" customHeight="1">
      <c r="A284" s="374">
        <f t="shared" si="80"/>
        <v>268</v>
      </c>
      <c r="B284" s="22" t="s">
        <v>182</v>
      </c>
      <c r="C284" s="261">
        <v>5814603.5600000005</v>
      </c>
      <c r="D284" s="10">
        <f t="shared" si="86"/>
        <v>5814.5600000005215</v>
      </c>
      <c r="E284" s="16">
        <f>ROUND(C284*'Allocation Factors'!$G$18,0)</f>
        <v>5808789</v>
      </c>
      <c r="F284" s="10">
        <f>'Sch 5'!C271</f>
        <v>532369</v>
      </c>
      <c r="G284" s="10">
        <f t="shared" si="87"/>
        <v>6341158</v>
      </c>
      <c r="H284" s="10"/>
      <c r="I284" s="15" t="s">
        <v>348</v>
      </c>
      <c r="J284" s="38"/>
    </row>
    <row r="285" spans="1:12" ht="14.1" customHeight="1">
      <c r="A285" s="374">
        <f t="shared" si="80"/>
        <v>269</v>
      </c>
      <c r="B285" s="22" t="s">
        <v>183</v>
      </c>
      <c r="C285" s="43">
        <v>117204.08</v>
      </c>
      <c r="D285" s="10">
        <f t="shared" si="86"/>
        <v>117.08000000000175</v>
      </c>
      <c r="E285" s="16">
        <f>ROUND(C285*'Allocation Factors'!$G$18,0)</f>
        <v>117087</v>
      </c>
      <c r="F285" s="10">
        <f>'Sch 5'!C272</f>
        <v>0</v>
      </c>
      <c r="G285" s="10">
        <f t="shared" si="87"/>
        <v>117087</v>
      </c>
      <c r="H285" s="10"/>
      <c r="I285" s="15" t="s">
        <v>348</v>
      </c>
      <c r="J285" s="38"/>
    </row>
    <row r="286" spans="1:12" ht="14.1" customHeight="1">
      <c r="A286" s="374">
        <f t="shared" si="80"/>
        <v>270</v>
      </c>
      <c r="B286" s="56" t="s">
        <v>184</v>
      </c>
      <c r="C286" s="43">
        <v>0</v>
      </c>
      <c r="D286" s="10">
        <f t="shared" si="86"/>
        <v>0</v>
      </c>
      <c r="E286" s="16">
        <f>ROUND(C286*'Allocation Factors'!$G$16,0)</f>
        <v>0</v>
      </c>
      <c r="F286" s="10">
        <f>'Sch 5'!C273</f>
        <v>0</v>
      </c>
      <c r="G286" s="10">
        <f t="shared" si="87"/>
        <v>0</v>
      </c>
      <c r="H286" s="10"/>
      <c r="I286" s="89" t="s">
        <v>346</v>
      </c>
      <c r="J286" s="38"/>
    </row>
    <row r="287" spans="1:12" s="21" customFormat="1" ht="14.1" customHeight="1">
      <c r="A287" s="374">
        <f t="shared" si="80"/>
        <v>271</v>
      </c>
      <c r="B287" s="20" t="s">
        <v>499</v>
      </c>
      <c r="C287" s="86">
        <f>SUM(C278:C286)</f>
        <v>6779021.1500000004</v>
      </c>
      <c r="D287" s="86">
        <f t="shared" ref="D287:G287" si="88">SUM(D278:D286)</f>
        <v>6940.1500000005444</v>
      </c>
      <c r="E287" s="86">
        <f t="shared" si="88"/>
        <v>6772081</v>
      </c>
      <c r="F287" s="86">
        <f t="shared" si="88"/>
        <v>532369</v>
      </c>
      <c r="G287" s="86">
        <f t="shared" si="88"/>
        <v>7304450</v>
      </c>
      <c r="H287" s="86"/>
      <c r="I287" s="152"/>
      <c r="J287" s="38"/>
    </row>
    <row r="288" spans="1:12" s="21" customFormat="1" ht="14.1" customHeight="1">
      <c r="A288" s="374">
        <f t="shared" si="80"/>
        <v>272</v>
      </c>
      <c r="B288" s="134"/>
      <c r="C288" s="16"/>
      <c r="D288" s="16"/>
      <c r="E288" s="135"/>
      <c r="F288" s="16"/>
      <c r="G288" s="16"/>
      <c r="H288" s="16"/>
      <c r="I288" s="25"/>
      <c r="J288" s="38"/>
    </row>
    <row r="289" spans="1:15" s="21" customFormat="1" ht="14.1" customHeight="1">
      <c r="A289" s="374">
        <f t="shared" si="80"/>
        <v>273</v>
      </c>
      <c r="B289" s="13" t="s">
        <v>185</v>
      </c>
      <c r="C289" s="10"/>
      <c r="D289" s="19"/>
      <c r="E289" s="10"/>
      <c r="F289" s="10"/>
      <c r="G289" s="19"/>
      <c r="H289" s="19"/>
      <c r="I289" s="25"/>
      <c r="J289" s="38"/>
    </row>
    <row r="290" spans="1:15" s="21" customFormat="1" ht="14.1" customHeight="1">
      <c r="A290" s="374">
        <f t="shared" si="80"/>
        <v>274</v>
      </c>
      <c r="B290" s="22" t="s">
        <v>186</v>
      </c>
      <c r="C290" s="10">
        <v>53767.040000000001</v>
      </c>
      <c r="D290" s="10">
        <f t="shared" ref="D290:D295" si="89">C290-E290</f>
        <v>753.04000000000087</v>
      </c>
      <c r="E290" s="10">
        <f>ROUND(C290*'Allocation Factors'!$G$14,0)</f>
        <v>53014</v>
      </c>
      <c r="F290" s="10">
        <f>'Sch 5'!C277</f>
        <v>0</v>
      </c>
      <c r="G290" s="10">
        <f>E290+F290</f>
        <v>53014</v>
      </c>
      <c r="H290" s="10"/>
      <c r="I290" s="25" t="s">
        <v>344</v>
      </c>
      <c r="J290" s="38"/>
      <c r="K290" s="89"/>
      <c r="L290" s="89"/>
      <c r="M290" s="89"/>
      <c r="N290" s="89"/>
      <c r="O290" s="89"/>
    </row>
    <row r="291" spans="1:15" ht="14.1" customHeight="1">
      <c r="A291" s="374">
        <f t="shared" si="80"/>
        <v>275</v>
      </c>
      <c r="B291" s="22" t="s">
        <v>829</v>
      </c>
      <c r="C291" s="10">
        <v>12563568.039999999</v>
      </c>
      <c r="D291" s="10">
        <f t="shared" si="89"/>
        <v>0</v>
      </c>
      <c r="E291" s="10">
        <f>C291</f>
        <v>12563568.039999999</v>
      </c>
      <c r="F291" s="10">
        <f>'Sch 5'!C278</f>
        <v>-12563569</v>
      </c>
      <c r="G291" s="10">
        <f>E291+F291</f>
        <v>-0.96000000089406967</v>
      </c>
      <c r="H291" s="10"/>
      <c r="I291" s="15" t="s">
        <v>54</v>
      </c>
      <c r="J291" s="38"/>
    </row>
    <row r="292" spans="1:15" ht="14.1" customHeight="1">
      <c r="A292" s="374">
        <f t="shared" si="80"/>
        <v>276</v>
      </c>
      <c r="B292" s="22" t="s">
        <v>826</v>
      </c>
      <c r="C292" s="10">
        <v>53041.5</v>
      </c>
      <c r="D292" s="10">
        <f t="shared" si="89"/>
        <v>53041.5</v>
      </c>
      <c r="E292" s="16">
        <v>0</v>
      </c>
      <c r="F292" s="10">
        <f>'Sch 5'!C279</f>
        <v>0</v>
      </c>
      <c r="G292" s="10">
        <f t="shared" ref="G292:G298" si="90">E292+F292</f>
        <v>0</v>
      </c>
      <c r="H292" s="10"/>
      <c r="I292" s="15" t="s">
        <v>54</v>
      </c>
      <c r="J292" s="38"/>
    </row>
    <row r="293" spans="1:15" ht="14.1" customHeight="1">
      <c r="A293" s="374">
        <f t="shared" si="80"/>
        <v>277</v>
      </c>
      <c r="B293" s="22" t="s">
        <v>822</v>
      </c>
      <c r="C293" s="10">
        <v>-42605779.82</v>
      </c>
      <c r="D293" s="10">
        <f t="shared" si="89"/>
        <v>0</v>
      </c>
      <c r="E293" s="10">
        <f>C293</f>
        <v>-42605779.82</v>
      </c>
      <c r="F293" s="10">
        <f>'Sch 5'!C280</f>
        <v>-3297104</v>
      </c>
      <c r="G293" s="10">
        <f>E293+F293</f>
        <v>-45902883.82</v>
      </c>
      <c r="H293" s="10"/>
      <c r="I293" s="25" t="s">
        <v>54</v>
      </c>
      <c r="J293" s="38"/>
    </row>
    <row r="294" spans="1:15" ht="14.1" customHeight="1">
      <c r="A294" s="374">
        <f t="shared" si="80"/>
        <v>278</v>
      </c>
      <c r="B294" s="22" t="s">
        <v>823</v>
      </c>
      <c r="C294" s="10">
        <v>-566355.9</v>
      </c>
      <c r="D294" s="10">
        <f t="shared" si="89"/>
        <v>0</v>
      </c>
      <c r="E294" s="10">
        <f>C294</f>
        <v>-566355.9</v>
      </c>
      <c r="F294" s="10">
        <f>'Sch 5'!C281</f>
        <v>0</v>
      </c>
      <c r="G294" s="10">
        <f t="shared" si="90"/>
        <v>-566355.9</v>
      </c>
      <c r="H294" s="10"/>
      <c r="I294" s="25" t="s">
        <v>54</v>
      </c>
      <c r="J294" s="38"/>
    </row>
    <row r="295" spans="1:15" ht="14.1" customHeight="1">
      <c r="A295" s="374">
        <f t="shared" si="80"/>
        <v>279</v>
      </c>
      <c r="B295" s="22" t="s">
        <v>827</v>
      </c>
      <c r="C295" s="10">
        <v>60425243.240000002</v>
      </c>
      <c r="D295" s="10">
        <f t="shared" si="89"/>
        <v>906378.24000000209</v>
      </c>
      <c r="E295" s="10">
        <f>ROUND(C295*'Allocation Factors'!$G$16,0)</f>
        <v>59518865</v>
      </c>
      <c r="F295" s="10">
        <f>'Sch 5'!C282</f>
        <v>0</v>
      </c>
      <c r="G295" s="10">
        <f t="shared" si="90"/>
        <v>59518865</v>
      </c>
      <c r="H295" s="10"/>
      <c r="I295" s="15" t="s">
        <v>346</v>
      </c>
      <c r="J295" s="38"/>
    </row>
    <row r="296" spans="1:15" ht="14.1" customHeight="1">
      <c r="A296" s="374">
        <f t="shared" si="80"/>
        <v>280</v>
      </c>
      <c r="B296" s="22" t="s">
        <v>824</v>
      </c>
      <c r="C296" s="10">
        <v>-68150.31</v>
      </c>
      <c r="D296" s="10">
        <f>C296-E296</f>
        <v>-68150.31</v>
      </c>
      <c r="E296" s="10">
        <v>0</v>
      </c>
      <c r="F296" s="10">
        <f>'Sch 5'!C283</f>
        <v>0</v>
      </c>
      <c r="G296" s="10">
        <f t="shared" si="90"/>
        <v>0</v>
      </c>
      <c r="H296" s="10"/>
      <c r="I296" s="25" t="s">
        <v>54</v>
      </c>
      <c r="J296" s="38"/>
    </row>
    <row r="297" spans="1:15" ht="14.1" customHeight="1">
      <c r="A297" s="374">
        <f t="shared" si="80"/>
        <v>281</v>
      </c>
      <c r="B297" s="22" t="s">
        <v>825</v>
      </c>
      <c r="C297" s="10">
        <v>92700</v>
      </c>
      <c r="D297" s="10">
        <f>C297-E297</f>
        <v>1390</v>
      </c>
      <c r="E297" s="16">
        <f>ROUND(C297*'Allocation Factors'!$G$16,0)</f>
        <v>91310</v>
      </c>
      <c r="F297" s="10">
        <f>'Sch 5'!C284</f>
        <v>0</v>
      </c>
      <c r="G297" s="10">
        <f t="shared" si="90"/>
        <v>91310</v>
      </c>
      <c r="H297" s="10"/>
      <c r="I297" s="15" t="s">
        <v>346</v>
      </c>
      <c r="J297" s="38"/>
    </row>
    <row r="298" spans="1:15" ht="14.1" customHeight="1">
      <c r="A298" s="374">
        <f t="shared" si="80"/>
        <v>282</v>
      </c>
      <c r="B298" s="22" t="s">
        <v>828</v>
      </c>
      <c r="C298" s="10">
        <v>223541.81</v>
      </c>
      <c r="D298" s="10">
        <f>C298-E298</f>
        <v>223.80999999999767</v>
      </c>
      <c r="E298" s="16">
        <f>ROUND(C298*'Allocation Factors'!$G$18,0)</f>
        <v>223318</v>
      </c>
      <c r="F298" s="10">
        <f>'Sch 5'!C285</f>
        <v>0</v>
      </c>
      <c r="G298" s="10">
        <f t="shared" si="90"/>
        <v>223318</v>
      </c>
      <c r="H298" s="10"/>
      <c r="I298" s="15" t="s">
        <v>348</v>
      </c>
      <c r="J298" s="38"/>
    </row>
    <row r="299" spans="1:15" ht="14.1" customHeight="1">
      <c r="A299" s="374">
        <f t="shared" si="80"/>
        <v>283</v>
      </c>
      <c r="B299" s="20" t="s">
        <v>500</v>
      </c>
      <c r="C299" s="86">
        <f>SUM(C290:C298)</f>
        <v>30171575.600000001</v>
      </c>
      <c r="D299" s="86">
        <f t="shared" ref="D299:G299" si="91">SUM(D290:D298)</f>
        <v>893636.28000000212</v>
      </c>
      <c r="E299" s="86">
        <f t="shared" si="91"/>
        <v>29277939.32</v>
      </c>
      <c r="F299" s="86">
        <f>SUM(F290:F298)</f>
        <v>-15860673</v>
      </c>
      <c r="G299" s="86">
        <f t="shared" si="91"/>
        <v>13417266.32</v>
      </c>
      <c r="H299" s="86"/>
      <c r="I299" s="152"/>
      <c r="J299" s="38"/>
    </row>
    <row r="300" spans="1:15" ht="14.1" customHeight="1">
      <c r="A300" s="374">
        <f t="shared" si="80"/>
        <v>284</v>
      </c>
      <c r="B300" s="57"/>
      <c r="C300" s="156"/>
      <c r="D300" s="156"/>
      <c r="E300" s="58"/>
      <c r="F300" s="156"/>
      <c r="G300" s="64"/>
      <c r="H300" s="64"/>
      <c r="I300" s="140"/>
      <c r="J300" s="38"/>
    </row>
    <row r="301" spans="1:15" ht="14.1" customHeight="1">
      <c r="A301" s="374">
        <f t="shared" si="80"/>
        <v>285</v>
      </c>
      <c r="B301" s="20" t="s">
        <v>501</v>
      </c>
      <c r="C301" s="16">
        <f>SUM(C275:C276,C287,C299)</f>
        <v>41847626.950000003</v>
      </c>
      <c r="D301" s="16">
        <f t="shared" ref="D301:F301" si="92">SUM(D275:D276,D287,D299)</f>
        <v>900576.43000000261</v>
      </c>
      <c r="E301" s="16">
        <f t="shared" si="92"/>
        <v>40947050.32</v>
      </c>
      <c r="F301" s="16">
        <f t="shared" si="92"/>
        <v>-15328304</v>
      </c>
      <c r="G301" s="16">
        <f>G299+G287+G276+G275</f>
        <v>25618746.32</v>
      </c>
      <c r="H301" s="16"/>
      <c r="I301" s="17"/>
      <c r="J301" s="38"/>
    </row>
    <row r="302" spans="1:15" ht="14.1" customHeight="1">
      <c r="A302" s="374">
        <f t="shared" si="80"/>
        <v>286</v>
      </c>
      <c r="B302" s="57"/>
      <c r="C302" s="156"/>
      <c r="D302" s="156"/>
      <c r="E302" s="58"/>
      <c r="F302" s="156"/>
      <c r="G302" s="156"/>
      <c r="H302" s="156"/>
      <c r="I302" s="157"/>
      <c r="J302" s="38"/>
    </row>
    <row r="303" spans="1:15" ht="14.1" customHeight="1">
      <c r="A303" s="374">
        <f t="shared" si="80"/>
        <v>287</v>
      </c>
      <c r="B303" s="20" t="s">
        <v>502</v>
      </c>
      <c r="C303" s="50">
        <f>+C264+C265+C266+C272+C301</f>
        <v>646941969</v>
      </c>
      <c r="D303" s="50">
        <f t="shared" ref="D303:G303" si="93">+D264+D265+D266+D272+D301</f>
        <v>5493450.3802000023</v>
      </c>
      <c r="E303" s="50">
        <f>+E264+E265+E266+E272+E301</f>
        <v>641448518.41980004</v>
      </c>
      <c r="F303" s="50">
        <f t="shared" si="93"/>
        <v>-73937665.050000012</v>
      </c>
      <c r="G303" s="50">
        <f t="shared" si="93"/>
        <v>567510853.36980009</v>
      </c>
      <c r="H303" s="100">
        <f>ROUND(E303/C303,3)</f>
        <v>0.99199999999999999</v>
      </c>
      <c r="I303" s="51"/>
      <c r="J303" s="38"/>
    </row>
    <row r="304" spans="1:15" ht="14.1" customHeight="1">
      <c r="A304" s="374">
        <f t="shared" si="80"/>
        <v>288</v>
      </c>
      <c r="B304" s="22"/>
      <c r="C304" s="10"/>
      <c r="D304" s="10"/>
      <c r="E304" s="11"/>
      <c r="F304" s="10"/>
      <c r="G304" s="10"/>
      <c r="H304" s="10"/>
      <c r="I304" s="15"/>
      <c r="J304" s="38"/>
    </row>
    <row r="305" spans="1:15" ht="14.1" customHeight="1">
      <c r="A305" s="374">
        <f t="shared" si="80"/>
        <v>289</v>
      </c>
      <c r="B305" s="42" t="s">
        <v>187</v>
      </c>
      <c r="C305" s="10"/>
      <c r="D305" s="10"/>
      <c r="E305" s="10"/>
      <c r="F305" s="10"/>
      <c r="G305" s="10"/>
      <c r="H305" s="10"/>
      <c r="I305" s="15"/>
      <c r="J305" s="38"/>
    </row>
    <row r="306" spans="1:15" ht="14.1" customHeight="1">
      <c r="A306" s="374">
        <f t="shared" si="80"/>
        <v>290</v>
      </c>
      <c r="B306" s="13" t="s">
        <v>188</v>
      </c>
      <c r="C306" s="10"/>
      <c r="D306" s="10"/>
      <c r="E306" s="10"/>
      <c r="F306" s="10"/>
      <c r="G306" s="10"/>
      <c r="H306" s="10"/>
      <c r="I306" s="15"/>
      <c r="J306" s="38"/>
    </row>
    <row r="307" spans="1:15" ht="14.1" customHeight="1">
      <c r="A307" s="374">
        <f t="shared" si="80"/>
        <v>291</v>
      </c>
      <c r="B307" s="22" t="s">
        <v>189</v>
      </c>
      <c r="C307" s="10">
        <f>3544533.282+50349.79</f>
        <v>3594883.0720000002</v>
      </c>
      <c r="D307" s="10">
        <f t="shared" ref="D307:D319" si="94">C307-E307</f>
        <v>53892.07200000016</v>
      </c>
      <c r="E307" s="10">
        <f>ROUND(J307+(C307-J307)*'Allocation Factors'!$G$10,0)</f>
        <v>3540991</v>
      </c>
      <c r="F307" s="10">
        <f>'Sch 5'!C294</f>
        <v>-18988.510000000002</v>
      </c>
      <c r="G307" s="10">
        <f>E307+F307</f>
        <v>3522002.49</v>
      </c>
      <c r="H307" s="10"/>
      <c r="I307" s="15" t="s">
        <v>341</v>
      </c>
      <c r="J307" s="10">
        <f>1168+887</f>
        <v>2055</v>
      </c>
      <c r="K307" s="89" t="s">
        <v>1023</v>
      </c>
    </row>
    <row r="308" spans="1:15" ht="14.1" customHeight="1">
      <c r="A308" s="374">
        <f t="shared" si="80"/>
        <v>292</v>
      </c>
      <c r="B308" s="22" t="s">
        <v>383</v>
      </c>
      <c r="C308" s="10">
        <f>2695247.4+83581064.56+1628580.72+15560523.26</f>
        <v>103465415.94000001</v>
      </c>
      <c r="D308" s="10">
        <f t="shared" si="94"/>
        <v>1448515.9400000125</v>
      </c>
      <c r="E308" s="10">
        <f>ROUND(C308*'Allocation Factors'!$G$14,0)</f>
        <v>102016900</v>
      </c>
      <c r="F308" s="10">
        <f>'Sch 5'!C295</f>
        <v>-11386.39</v>
      </c>
      <c r="G308" s="10">
        <f>E308+F308</f>
        <v>102005513.61</v>
      </c>
      <c r="H308" s="10"/>
      <c r="I308" s="15" t="s">
        <v>344</v>
      </c>
      <c r="J308" s="38"/>
    </row>
    <row r="309" spans="1:15" ht="14.1" customHeight="1">
      <c r="A309" s="374">
        <f t="shared" si="80"/>
        <v>293</v>
      </c>
      <c r="B309" s="22" t="s">
        <v>894</v>
      </c>
      <c r="C309" s="10">
        <f>4831488+-13981.97</f>
        <v>4817506.03</v>
      </c>
      <c r="D309" s="10">
        <f t="shared" si="94"/>
        <v>72263.030000000261</v>
      </c>
      <c r="E309" s="10">
        <f>ROUND(C309*'Allocation Factors'!$G$10,0)</f>
        <v>4745243</v>
      </c>
      <c r="F309" s="10">
        <f>'Sch 5'!C296</f>
        <v>0</v>
      </c>
      <c r="G309" s="10">
        <f>E309+F309</f>
        <v>4745243</v>
      </c>
      <c r="H309" s="10"/>
      <c r="I309" s="15" t="s">
        <v>341</v>
      </c>
      <c r="J309" s="38"/>
    </row>
    <row r="310" spans="1:15" ht="14.1" customHeight="1">
      <c r="A310" s="374">
        <f t="shared" si="80"/>
        <v>294</v>
      </c>
      <c r="B310" s="22" t="s">
        <v>384</v>
      </c>
      <c r="C310" s="10">
        <f>2938296.83+-1605.9+381232.9+429803.58+-544285.17</f>
        <v>3203442.24</v>
      </c>
      <c r="D310" s="10">
        <f t="shared" si="94"/>
        <v>44848.240000000224</v>
      </c>
      <c r="E310" s="10">
        <f>ROUND(C310*'Allocation Factors'!$G$14,0)</f>
        <v>3158594</v>
      </c>
      <c r="F310" s="10">
        <f>'Sch 5'!C297</f>
        <v>361379</v>
      </c>
      <c r="G310" s="10">
        <f>E310+F310</f>
        <v>3519973</v>
      </c>
      <c r="H310" s="10"/>
      <c r="I310" s="15" t="s">
        <v>344</v>
      </c>
      <c r="J310" s="38"/>
    </row>
    <row r="311" spans="1:15" s="21" customFormat="1" ht="14.1" customHeight="1">
      <c r="A311" s="374">
        <f t="shared" ref="A311:A374" si="95">+A310+1</f>
        <v>295</v>
      </c>
      <c r="B311" s="22" t="s">
        <v>320</v>
      </c>
      <c r="C311" s="10">
        <v>-2385816.3199999998</v>
      </c>
      <c r="D311" s="10">
        <f t="shared" si="94"/>
        <v>-0.31999999983236194</v>
      </c>
      <c r="E311" s="10">
        <f>ROUND(C311*'Allocation Factors'!$G$34,0)</f>
        <v>-2385816</v>
      </c>
      <c r="F311" s="10">
        <f>'Sch 5'!C298</f>
        <v>2385816.3200000003</v>
      </c>
      <c r="G311" s="10">
        <f t="shared" ref="G311:G319" si="96">E311+F311</f>
        <v>0.32000000029802322</v>
      </c>
      <c r="H311" s="10"/>
      <c r="I311" s="15" t="s">
        <v>362</v>
      </c>
      <c r="J311" s="38"/>
      <c r="K311" s="89"/>
      <c r="L311" s="89"/>
    </row>
    <row r="312" spans="1:15" ht="14.1" customHeight="1">
      <c r="A312" s="374">
        <f t="shared" si="95"/>
        <v>296</v>
      </c>
      <c r="B312" s="22" t="s">
        <v>707</v>
      </c>
      <c r="C312" s="10">
        <f>1091833.8+1015443.67+328331.91+3134257.56+132962.2+20158.79+623781.77</f>
        <v>6346769.7000000011</v>
      </c>
      <c r="D312" s="10">
        <f t="shared" si="94"/>
        <v>91012.700000001118</v>
      </c>
      <c r="E312" s="10">
        <f>ROUND(((((C312)*0.34)*'Allocation Factors'!$G$10)+(((C312)*0.66)*'Allocation Factors'!$G$14)),0)</f>
        <v>6255757</v>
      </c>
      <c r="F312" s="10">
        <f>'Sch 5'!C299</f>
        <v>-3609485.8000000003</v>
      </c>
      <c r="G312" s="10">
        <f t="shared" si="96"/>
        <v>2646271.1999999997</v>
      </c>
      <c r="H312" s="10"/>
      <c r="I312" s="15" t="s">
        <v>367</v>
      </c>
      <c r="J312" s="38"/>
    </row>
    <row r="313" spans="1:15" ht="14.1" customHeight="1">
      <c r="A313" s="374">
        <f t="shared" si="95"/>
        <v>297</v>
      </c>
      <c r="B313" s="22" t="s">
        <v>190</v>
      </c>
      <c r="C313" s="10">
        <v>0</v>
      </c>
      <c r="D313" s="10">
        <f t="shared" si="94"/>
        <v>0</v>
      </c>
      <c r="E313" s="10">
        <f>ROUND(C313*'Allocation Factors'!$G$10,0)</f>
        <v>0</v>
      </c>
      <c r="F313" s="10">
        <f>'Sch 5'!C300</f>
        <v>0</v>
      </c>
      <c r="G313" s="10">
        <f t="shared" si="96"/>
        <v>0</v>
      </c>
      <c r="H313" s="10"/>
      <c r="I313" s="15" t="s">
        <v>341</v>
      </c>
      <c r="J313" s="38"/>
    </row>
    <row r="314" spans="1:15" ht="14.1" customHeight="1">
      <c r="A314" s="374">
        <f t="shared" si="95"/>
        <v>298</v>
      </c>
      <c r="B314" s="22" t="s">
        <v>191</v>
      </c>
      <c r="C314" s="10">
        <v>0</v>
      </c>
      <c r="D314" s="10">
        <f t="shared" si="94"/>
        <v>0</v>
      </c>
      <c r="E314" s="10">
        <f>ROUND(C314*'Allocation Factors'!$G$10,0)</f>
        <v>0</v>
      </c>
      <c r="F314" s="10">
        <f>'Sch 5'!C301</f>
        <v>0</v>
      </c>
      <c r="G314" s="10">
        <f t="shared" si="96"/>
        <v>0</v>
      </c>
      <c r="H314" s="10"/>
      <c r="I314" s="15" t="s">
        <v>341</v>
      </c>
      <c r="J314" s="38"/>
    </row>
    <row r="315" spans="1:15" ht="14.1" customHeight="1">
      <c r="A315" s="374">
        <f t="shared" si="95"/>
        <v>299</v>
      </c>
      <c r="B315" s="22" t="s">
        <v>192</v>
      </c>
      <c r="C315" s="10">
        <v>112272.47</v>
      </c>
      <c r="D315" s="10">
        <f t="shared" si="94"/>
        <v>1610.4700000000012</v>
      </c>
      <c r="E315" s="10">
        <f>ROUND(((((C315)*0.34)*'Allocation Factors'!$G$10)+(((C315)*0.66)*'Allocation Factors'!$G$14)),0)</f>
        <v>110662</v>
      </c>
      <c r="F315" s="10">
        <f>'Sch 5'!C302</f>
        <v>50.08</v>
      </c>
      <c r="G315" s="10">
        <f t="shared" si="96"/>
        <v>110712.08</v>
      </c>
      <c r="H315" s="10"/>
      <c r="I315" s="15" t="s">
        <v>367</v>
      </c>
      <c r="J315" s="38"/>
    </row>
    <row r="316" spans="1:15" s="21" customFormat="1" ht="14.1" customHeight="1">
      <c r="A316" s="374">
        <f t="shared" si="95"/>
        <v>300</v>
      </c>
      <c r="B316" s="22" t="s">
        <v>193</v>
      </c>
      <c r="C316" s="10">
        <f>8226179.66+51977.68+-182.23+2613980.89+79782.1</f>
        <v>10971738.1</v>
      </c>
      <c r="D316" s="10">
        <f t="shared" si="94"/>
        <v>124835.09999999963</v>
      </c>
      <c r="E316" s="10">
        <f>ROUND(J316+(C316-J316)*'Allocation Factors'!$G$10,0)</f>
        <v>10846903</v>
      </c>
      <c r="F316" s="10">
        <f>'Sch 5'!C303</f>
        <v>-2880083.92</v>
      </c>
      <c r="G316" s="10">
        <f t="shared" si="96"/>
        <v>7966819.0800000001</v>
      </c>
      <c r="H316" s="10"/>
      <c r="I316" s="15" t="s">
        <v>341</v>
      </c>
      <c r="J316" s="10">
        <f>35433+2613981</f>
        <v>2649414</v>
      </c>
      <c r="K316" s="89" t="s">
        <v>1024</v>
      </c>
    </row>
    <row r="317" spans="1:15" s="21" customFormat="1" ht="14.1" customHeight="1">
      <c r="A317" s="374">
        <f t="shared" si="95"/>
        <v>301</v>
      </c>
      <c r="B317" s="22" t="s">
        <v>194</v>
      </c>
      <c r="C317" s="10">
        <v>0</v>
      </c>
      <c r="D317" s="10">
        <f>C317-E317</f>
        <v>0</v>
      </c>
      <c r="E317" s="10">
        <f>ROUND(C317*'Allocation Factors'!$G$10,0)</f>
        <v>0</v>
      </c>
      <c r="F317" s="10">
        <f>'Sch 5'!C304</f>
        <v>0</v>
      </c>
      <c r="G317" s="10">
        <f t="shared" si="96"/>
        <v>0</v>
      </c>
      <c r="H317" s="10"/>
      <c r="I317" s="15" t="s">
        <v>341</v>
      </c>
      <c r="J317" s="38"/>
      <c r="K317" s="89"/>
      <c r="L317" s="89"/>
      <c r="M317" s="89"/>
      <c r="N317" s="89"/>
      <c r="O317" s="89"/>
    </row>
    <row r="318" spans="1:15" ht="14.1" customHeight="1">
      <c r="A318" s="374">
        <f t="shared" si="95"/>
        <v>302</v>
      </c>
      <c r="B318" s="22" t="s">
        <v>889</v>
      </c>
      <c r="C318" s="10">
        <v>18.84</v>
      </c>
      <c r="D318" s="10">
        <f t="shared" si="94"/>
        <v>-0.16000000000000014</v>
      </c>
      <c r="E318" s="10">
        <f>ROUND(C318*'Allocation Factors'!$G$10,0)</f>
        <v>19</v>
      </c>
      <c r="F318" s="10">
        <f>'Sch 5'!C305</f>
        <v>-18.559999999999999</v>
      </c>
      <c r="G318" s="10">
        <f t="shared" si="96"/>
        <v>0.44000000000000128</v>
      </c>
      <c r="H318" s="10"/>
      <c r="I318" s="15" t="s">
        <v>341</v>
      </c>
      <c r="J318" s="38"/>
    </row>
    <row r="319" spans="1:15" ht="14.1" customHeight="1">
      <c r="A319" s="374">
        <f t="shared" si="95"/>
        <v>303</v>
      </c>
      <c r="B319" s="56" t="s">
        <v>195</v>
      </c>
      <c r="C319" s="10">
        <f>387824.21+6487.44+-3508.33</f>
        <v>390803.32</v>
      </c>
      <c r="D319" s="10">
        <f t="shared" si="94"/>
        <v>5471.320000000007</v>
      </c>
      <c r="E319" s="10">
        <f>ROUND(C319*'Allocation Factors'!$G$14,0)</f>
        <v>385332</v>
      </c>
      <c r="F319" s="10">
        <f>'Sch 5'!C306</f>
        <v>3459.21</v>
      </c>
      <c r="G319" s="10">
        <f t="shared" si="96"/>
        <v>388791.21</v>
      </c>
      <c r="H319" s="10"/>
      <c r="I319" s="15" t="s">
        <v>344</v>
      </c>
      <c r="J319" s="38"/>
    </row>
    <row r="320" spans="1:15" ht="14.1" customHeight="1">
      <c r="A320" s="374">
        <f t="shared" si="95"/>
        <v>304</v>
      </c>
      <c r="B320" s="20" t="s">
        <v>503</v>
      </c>
      <c r="C320" s="86">
        <f>SUM(C307:C319)</f>
        <v>130517033.392</v>
      </c>
      <c r="D320" s="86">
        <f>SUM(D307:D319)</f>
        <v>1842448.3920000142</v>
      </c>
      <c r="E320" s="86">
        <f>SUM(E307:E319)</f>
        <v>128674585</v>
      </c>
      <c r="F320" s="86">
        <f>SUM(F307:F319)</f>
        <v>-3769258.57</v>
      </c>
      <c r="G320" s="86">
        <f>SUM(G307:G319)</f>
        <v>124905326.42999998</v>
      </c>
      <c r="H320" s="86"/>
      <c r="I320" s="152"/>
      <c r="J320" s="38"/>
    </row>
    <row r="321" spans="1:11" ht="14.1" customHeight="1">
      <c r="A321" s="374">
        <f t="shared" si="95"/>
        <v>305</v>
      </c>
      <c r="B321" s="23"/>
      <c r="C321" s="16"/>
      <c r="D321" s="147"/>
      <c r="E321" s="135"/>
      <c r="F321" s="16"/>
      <c r="G321" s="43"/>
      <c r="H321" s="43"/>
      <c r="I321" s="15"/>
      <c r="J321" s="38"/>
    </row>
    <row r="322" spans="1:11" ht="14.1" customHeight="1">
      <c r="A322" s="374">
        <f t="shared" si="95"/>
        <v>306</v>
      </c>
      <c r="B322" s="22" t="s">
        <v>197</v>
      </c>
      <c r="C322" s="10">
        <v>2598114.29</v>
      </c>
      <c r="D322" s="10">
        <f>C322-E322</f>
        <v>38971.290000000037</v>
      </c>
      <c r="E322" s="10">
        <f>ROUND(C322*'Allocation Factors'!$G$10,0)</f>
        <v>2559143</v>
      </c>
      <c r="F322" s="10">
        <f>'Sch 5'!C309</f>
        <v>-61498.51</v>
      </c>
      <c r="G322" s="10">
        <f>E322+F322</f>
        <v>2497644.4900000002</v>
      </c>
      <c r="H322" s="10"/>
      <c r="I322" s="15" t="s">
        <v>341</v>
      </c>
      <c r="J322" s="38"/>
    </row>
    <row r="323" spans="1:11" ht="14.1" customHeight="1">
      <c r="A323" s="374">
        <f t="shared" si="95"/>
        <v>307</v>
      </c>
      <c r="B323" s="22" t="s">
        <v>198</v>
      </c>
      <c r="C323" s="10">
        <v>1636922.31</v>
      </c>
      <c r="D323" s="10">
        <f>C323-E323</f>
        <v>24491.310000000056</v>
      </c>
      <c r="E323" s="10">
        <f>ROUND(J323+(C323-J323)*'Allocation Factors'!$G$10,0)</f>
        <v>1612431</v>
      </c>
      <c r="F323" s="10">
        <f>'Sch 5'!C310</f>
        <v>-10011.44</v>
      </c>
      <c r="G323" s="10">
        <f>E323+F323</f>
        <v>1602419.56</v>
      </c>
      <c r="H323" s="10"/>
      <c r="I323" s="15" t="s">
        <v>341</v>
      </c>
      <c r="J323" s="10">
        <v>4180</v>
      </c>
      <c r="K323" s="89" t="s">
        <v>1023</v>
      </c>
    </row>
    <row r="324" spans="1:11" ht="13.5" customHeight="1">
      <c r="A324" s="374">
        <f t="shared" si="95"/>
        <v>308</v>
      </c>
      <c r="B324" s="22" t="s">
        <v>199</v>
      </c>
      <c r="C324" s="10">
        <f>14747602.22+-87322.41+25332.34</f>
        <v>14685612.15</v>
      </c>
      <c r="D324" s="10">
        <f>C324-E324</f>
        <v>210946.15000000037</v>
      </c>
      <c r="E324" s="10">
        <f>ROUND(((((C324-J324)*0.34)*'Allocation Factors'!$G$10)+(((C324-J324)*0.66)*'Allocation Factors'!$G$14)),0)+J324</f>
        <v>14474666</v>
      </c>
      <c r="F324" s="10">
        <f>'Sch 5'!C311</f>
        <v>-1430180.66</v>
      </c>
      <c r="G324" s="10">
        <f>E324+F324</f>
        <v>13044485.34</v>
      </c>
      <c r="H324" s="10"/>
      <c r="I324" s="15" t="s">
        <v>367</v>
      </c>
      <c r="J324" s="10">
        <f>36037-86100+25332</f>
        <v>-24731</v>
      </c>
      <c r="K324" s="89" t="s">
        <v>1024</v>
      </c>
    </row>
    <row r="325" spans="1:11" ht="14.1" customHeight="1">
      <c r="A325" s="374">
        <f t="shared" si="95"/>
        <v>309</v>
      </c>
      <c r="B325" s="22" t="s">
        <v>200</v>
      </c>
      <c r="C325" s="10">
        <v>4710892.99</v>
      </c>
      <c r="D325" s="10">
        <f>C325-E325</f>
        <v>70583.990000000224</v>
      </c>
      <c r="E325" s="10">
        <f>ROUND(J325+(C325-J325)*'Allocation Factors'!$G$10,0)</f>
        <v>4640309</v>
      </c>
      <c r="F325" s="10">
        <f>'Sch 5'!C312</f>
        <v>-43360.54</v>
      </c>
      <c r="G325" s="10">
        <f>E325+F325</f>
        <v>4596948.46</v>
      </c>
      <c r="H325" s="10"/>
      <c r="I325" s="15" t="s">
        <v>341</v>
      </c>
      <c r="J325" s="10">
        <v>5272</v>
      </c>
      <c r="K325" s="89" t="s">
        <v>1023</v>
      </c>
    </row>
    <row r="326" spans="1:11" ht="14.1" customHeight="1">
      <c r="A326" s="374">
        <f t="shared" si="95"/>
        <v>310</v>
      </c>
      <c r="B326" s="56" t="s">
        <v>201</v>
      </c>
      <c r="C326" s="10">
        <v>1834246.21</v>
      </c>
      <c r="D326" s="10">
        <f>C326-E326</f>
        <v>27467.209999999963</v>
      </c>
      <c r="E326" s="10">
        <f>ROUND(J326+(C326-J326)*'Allocation Factors'!$G$10,0)</f>
        <v>1806779</v>
      </c>
      <c r="F326" s="10">
        <f>'Sch 5'!C313</f>
        <v>-297914.2</v>
      </c>
      <c r="G326" s="10">
        <f>E326+F326</f>
        <v>1508864.8</v>
      </c>
      <c r="H326" s="10"/>
      <c r="I326" s="15" t="s">
        <v>341</v>
      </c>
      <c r="J326" s="38">
        <v>3070</v>
      </c>
      <c r="K326" s="89" t="s">
        <v>1023</v>
      </c>
    </row>
    <row r="327" spans="1:11" ht="14.1" customHeight="1">
      <c r="A327" s="374">
        <f t="shared" si="95"/>
        <v>311</v>
      </c>
      <c r="B327" s="20" t="s">
        <v>504</v>
      </c>
      <c r="C327" s="86">
        <f>SUM(C322:C326)</f>
        <v>25465787.950000003</v>
      </c>
      <c r="D327" s="86">
        <f t="shared" ref="D327:G327" si="97">SUM(D322:D326)</f>
        <v>372459.95000000065</v>
      </c>
      <c r="E327" s="86">
        <f t="shared" si="97"/>
        <v>25093328</v>
      </c>
      <c r="F327" s="86">
        <f t="shared" si="97"/>
        <v>-1842965.3499999999</v>
      </c>
      <c r="G327" s="86">
        <f t="shared" si="97"/>
        <v>23250362.650000002</v>
      </c>
      <c r="H327" s="86"/>
      <c r="I327" s="152"/>
      <c r="J327" s="38"/>
    </row>
    <row r="328" spans="1:11" ht="14.1" customHeight="1">
      <c r="A328" s="374">
        <f t="shared" si="95"/>
        <v>312</v>
      </c>
      <c r="B328" s="57"/>
      <c r="C328" s="156"/>
      <c r="D328" s="156"/>
      <c r="E328" s="58"/>
      <c r="F328" s="156"/>
      <c r="G328" s="64"/>
      <c r="H328" s="64"/>
      <c r="I328" s="140"/>
      <c r="J328" s="38"/>
    </row>
    <row r="329" spans="1:11" ht="14.1" customHeight="1">
      <c r="A329" s="374">
        <f t="shared" si="95"/>
        <v>313</v>
      </c>
      <c r="B329" s="20" t="s">
        <v>202</v>
      </c>
      <c r="C329" s="16">
        <f>+C327+C320</f>
        <v>155982821.34200001</v>
      </c>
      <c r="D329" s="16">
        <f t="shared" ref="D329:G329" si="98">+D327+D320</f>
        <v>2214908.3420000151</v>
      </c>
      <c r="E329" s="16">
        <f t="shared" si="98"/>
        <v>153767913</v>
      </c>
      <c r="F329" s="16">
        <f t="shared" si="98"/>
        <v>-5612223.9199999999</v>
      </c>
      <c r="G329" s="16">
        <f t="shared" si="98"/>
        <v>148155689.07999998</v>
      </c>
      <c r="H329" s="16"/>
      <c r="I329" s="17"/>
      <c r="J329" s="38"/>
    </row>
    <row r="330" spans="1:11" ht="14.1" customHeight="1">
      <c r="A330" s="374">
        <f t="shared" si="95"/>
        <v>314</v>
      </c>
      <c r="B330" s="134"/>
      <c r="C330" s="16"/>
      <c r="D330" s="16"/>
      <c r="E330" s="12"/>
      <c r="F330" s="16"/>
      <c r="G330" s="43"/>
      <c r="H330" s="43"/>
      <c r="I330" s="15"/>
      <c r="J330" s="38"/>
    </row>
    <row r="331" spans="1:11" ht="14.1" customHeight="1">
      <c r="A331" s="374">
        <f t="shared" si="95"/>
        <v>315</v>
      </c>
      <c r="B331" s="13" t="s">
        <v>203</v>
      </c>
      <c r="C331" s="43"/>
      <c r="D331" s="43"/>
      <c r="E331" s="43"/>
      <c r="F331" s="43"/>
      <c r="G331" s="43"/>
      <c r="H331" s="43"/>
      <c r="I331" s="15"/>
      <c r="J331" s="38"/>
    </row>
    <row r="332" spans="1:11" ht="14.1" customHeight="1">
      <c r="A332" s="374">
        <f t="shared" si="95"/>
        <v>316</v>
      </c>
      <c r="B332" s="22" t="s">
        <v>204</v>
      </c>
      <c r="C332" s="10">
        <f>'Sch 7'!D12</f>
        <v>54222498</v>
      </c>
      <c r="D332" s="10">
        <f>C332-E332</f>
        <v>813337</v>
      </c>
      <c r="E332" s="10">
        <f>ROUND(C332*'Allocation Factors'!$G$10,0)</f>
        <v>53409161</v>
      </c>
      <c r="F332" s="10">
        <f>'Sch 5'!C319</f>
        <v>-15000000</v>
      </c>
      <c r="G332" s="10">
        <f>E332+F332</f>
        <v>38409161</v>
      </c>
      <c r="H332" s="10"/>
      <c r="I332" s="15" t="s">
        <v>341</v>
      </c>
      <c r="J332" s="10"/>
    </row>
    <row r="333" spans="1:11" ht="14.1" customHeight="1">
      <c r="A333" s="374">
        <f t="shared" si="95"/>
        <v>317</v>
      </c>
      <c r="B333" s="22" t="s">
        <v>205</v>
      </c>
      <c r="C333" s="10">
        <f>'Sch 7'!B12</f>
        <v>98406830</v>
      </c>
      <c r="D333" s="10">
        <f>C333-E333</f>
        <v>1344323</v>
      </c>
      <c r="E333" s="10">
        <f>ROUND(J333+(C333-J333)*'Allocation Factors'!$G$14,0)</f>
        <v>97062507</v>
      </c>
      <c r="F333" s="10">
        <f>'Sch 5'!C320</f>
        <v>5483146.9199999999</v>
      </c>
      <c r="G333" s="10">
        <f>E333+F333</f>
        <v>102545653.92</v>
      </c>
      <c r="H333" s="10"/>
      <c r="I333" s="15" t="s">
        <v>344</v>
      </c>
      <c r="J333" s="10">
        <v>2383768</v>
      </c>
      <c r="K333" s="89" t="s">
        <v>1025</v>
      </c>
    </row>
    <row r="334" spans="1:11" ht="14.1" customHeight="1">
      <c r="A334" s="374">
        <f t="shared" si="95"/>
        <v>318</v>
      </c>
      <c r="B334" s="22" t="s">
        <v>206</v>
      </c>
      <c r="C334" s="10">
        <v>580289.68000000005</v>
      </c>
      <c r="D334" s="10">
        <f>C334-E334</f>
        <v>8704.6800000000512</v>
      </c>
      <c r="E334" s="10">
        <f>ROUND(C334*'Allocation Factors'!$G$10,0)</f>
        <v>571585</v>
      </c>
      <c r="F334" s="10">
        <f>'Sch 5'!C321</f>
        <v>0</v>
      </c>
      <c r="G334" s="10">
        <f>E334+F334</f>
        <v>571585</v>
      </c>
      <c r="H334" s="10"/>
      <c r="I334" s="15" t="s">
        <v>341</v>
      </c>
      <c r="J334" s="38"/>
    </row>
    <row r="335" spans="1:11" ht="14.1" customHeight="1">
      <c r="A335" s="374">
        <f t="shared" si="95"/>
        <v>319</v>
      </c>
      <c r="B335" s="56" t="s">
        <v>207</v>
      </c>
      <c r="C335" s="43">
        <f>1430720.58+57097.13+60</f>
        <v>1487877.71</v>
      </c>
      <c r="D335" s="10">
        <f>C335-E335</f>
        <v>22317.709999999963</v>
      </c>
      <c r="E335" s="10">
        <f>ROUND(C335*'Allocation Factors'!$G$10,0)</f>
        <v>1465560</v>
      </c>
      <c r="F335" s="10">
        <f>'Sch 5'!C322</f>
        <v>0</v>
      </c>
      <c r="G335" s="10">
        <f>E335+F335</f>
        <v>1465560</v>
      </c>
      <c r="H335" s="10"/>
      <c r="I335" s="15" t="s">
        <v>341</v>
      </c>
      <c r="J335" s="38"/>
    </row>
    <row r="336" spans="1:11" s="21" customFormat="1" ht="14.1" customHeight="1">
      <c r="A336" s="374">
        <f t="shared" si="95"/>
        <v>320</v>
      </c>
      <c r="B336" s="20" t="s">
        <v>505</v>
      </c>
      <c r="C336" s="86">
        <f t="shared" ref="C336:G336" si="99">SUM(C332:C335)</f>
        <v>154697495.39000002</v>
      </c>
      <c r="D336" s="86">
        <f t="shared" si="99"/>
        <v>2188682.39</v>
      </c>
      <c r="E336" s="86">
        <f t="shared" si="99"/>
        <v>152508813</v>
      </c>
      <c r="F336" s="86">
        <f t="shared" si="99"/>
        <v>-9516853.0800000001</v>
      </c>
      <c r="G336" s="86">
        <f t="shared" si="99"/>
        <v>142991959.92000002</v>
      </c>
      <c r="H336" s="86"/>
      <c r="I336" s="152"/>
      <c r="J336" s="38"/>
    </row>
    <row r="337" spans="1:11" s="21" customFormat="1" ht="14.1" customHeight="1">
      <c r="A337" s="374">
        <f t="shared" si="95"/>
        <v>321</v>
      </c>
      <c r="B337" s="57"/>
      <c r="C337" s="156"/>
      <c r="D337" s="156"/>
      <c r="E337" s="58"/>
      <c r="F337" s="156"/>
      <c r="G337" s="64"/>
      <c r="H337" s="64"/>
      <c r="I337" s="52"/>
      <c r="J337" s="38"/>
    </row>
    <row r="338" spans="1:11" ht="14.1" customHeight="1">
      <c r="A338" s="374">
        <f t="shared" si="95"/>
        <v>322</v>
      </c>
      <c r="B338" s="20" t="s">
        <v>506</v>
      </c>
      <c r="C338" s="16">
        <f>C336+C329</f>
        <v>310680316.73199999</v>
      </c>
      <c r="D338" s="16">
        <f t="shared" ref="D338:G338" si="100">D336+D329</f>
        <v>4403590.7320000157</v>
      </c>
      <c r="E338" s="16">
        <f t="shared" si="100"/>
        <v>306276726</v>
      </c>
      <c r="F338" s="16">
        <f t="shared" si="100"/>
        <v>-15129077</v>
      </c>
      <c r="G338" s="16">
        <f t="shared" si="100"/>
        <v>291147649</v>
      </c>
      <c r="H338" s="16"/>
      <c r="I338" s="160"/>
      <c r="J338" s="38"/>
    </row>
    <row r="339" spans="1:11" ht="14.1" customHeight="1">
      <c r="A339" s="374">
        <f t="shared" si="95"/>
        <v>323</v>
      </c>
      <c r="B339" s="134"/>
      <c r="C339" s="12"/>
      <c r="D339" s="16"/>
      <c r="E339" s="12"/>
      <c r="F339" s="16"/>
      <c r="G339" s="10"/>
      <c r="H339" s="10"/>
      <c r="I339" s="15"/>
      <c r="J339" s="38"/>
    </row>
    <row r="340" spans="1:11" ht="14.1" customHeight="1">
      <c r="A340" s="374">
        <f t="shared" si="95"/>
        <v>324</v>
      </c>
      <c r="B340" s="13" t="s">
        <v>210</v>
      </c>
      <c r="C340" s="10"/>
      <c r="D340" s="10"/>
      <c r="E340" s="10"/>
      <c r="F340" s="10"/>
      <c r="G340" s="10"/>
      <c r="H340" s="10"/>
      <c r="I340" s="15"/>
      <c r="J340" s="38"/>
    </row>
    <row r="341" spans="1:11" ht="14.1" customHeight="1">
      <c r="A341" s="374">
        <f t="shared" si="95"/>
        <v>325</v>
      </c>
      <c r="B341" s="22" t="s">
        <v>211</v>
      </c>
      <c r="C341" s="10">
        <v>1471898.32</v>
      </c>
      <c r="D341" s="10">
        <f t="shared" ref="D341:D352" si="101">C341-E341</f>
        <v>22078.320000000065</v>
      </c>
      <c r="E341" s="10">
        <f>ROUND(C341*'Allocation Factors'!$G$16,0)</f>
        <v>1449820</v>
      </c>
      <c r="F341" s="10">
        <f>'Sch 5'!C328</f>
        <v>0</v>
      </c>
      <c r="G341" s="10">
        <f t="shared" ref="G341:G346" si="102">E341+F341</f>
        <v>1449820</v>
      </c>
      <c r="H341" s="10"/>
      <c r="I341" s="15" t="s">
        <v>346</v>
      </c>
      <c r="J341" s="38"/>
    </row>
    <row r="342" spans="1:11" ht="14.1" customHeight="1">
      <c r="A342" s="374">
        <f t="shared" si="95"/>
        <v>326</v>
      </c>
      <c r="B342" s="22" t="s">
        <v>842</v>
      </c>
      <c r="C342" s="10">
        <f>8117.8+723813+115561.27</f>
        <v>847492.07000000007</v>
      </c>
      <c r="D342" s="10">
        <f t="shared" si="101"/>
        <v>12712.070000000065</v>
      </c>
      <c r="E342" s="10">
        <f>ROUND(C342*'Allocation Factors'!$G$16,0)</f>
        <v>834780</v>
      </c>
      <c r="F342" s="10">
        <f>'Sch 5'!C329</f>
        <v>69117</v>
      </c>
      <c r="G342" s="10">
        <f t="shared" si="102"/>
        <v>903897</v>
      </c>
      <c r="H342" s="10"/>
      <c r="I342" s="15" t="s">
        <v>346</v>
      </c>
      <c r="J342" s="38"/>
    </row>
    <row r="343" spans="1:11" ht="14.1" customHeight="1">
      <c r="A343" s="374">
        <f t="shared" si="95"/>
        <v>327</v>
      </c>
      <c r="B343" s="22" t="s">
        <v>841</v>
      </c>
      <c r="C343" s="10">
        <f>167927.31+955592.55+-138.37+44686.66+244770.02</f>
        <v>1412838.17</v>
      </c>
      <c r="D343" s="10">
        <f t="shared" si="101"/>
        <v>21192.169999999925</v>
      </c>
      <c r="E343" s="10">
        <f>ROUND(C343*'Allocation Factors'!$G$16,0)</f>
        <v>1391646</v>
      </c>
      <c r="F343" s="10">
        <f>'Sch 5'!C330</f>
        <v>0</v>
      </c>
      <c r="G343" s="10">
        <f t="shared" si="102"/>
        <v>1391646</v>
      </c>
      <c r="H343" s="10"/>
      <c r="I343" s="15" t="s">
        <v>346</v>
      </c>
      <c r="J343" s="38"/>
    </row>
    <row r="344" spans="1:11" ht="14.1" customHeight="1">
      <c r="A344" s="374">
        <f t="shared" si="95"/>
        <v>328</v>
      </c>
      <c r="B344" s="22" t="s">
        <v>212</v>
      </c>
      <c r="C344" s="10">
        <v>238026.94</v>
      </c>
      <c r="D344" s="10">
        <f t="shared" si="101"/>
        <v>3569.9400000000023</v>
      </c>
      <c r="E344" s="10">
        <f>ROUND(C344*'Allocation Factors'!$G$16,0)</f>
        <v>234457</v>
      </c>
      <c r="F344" s="10">
        <f>'Sch 5'!C330</f>
        <v>0</v>
      </c>
      <c r="G344" s="10">
        <f t="shared" si="102"/>
        <v>234457</v>
      </c>
      <c r="H344" s="10"/>
      <c r="I344" s="15" t="s">
        <v>346</v>
      </c>
      <c r="J344" s="38"/>
    </row>
    <row r="345" spans="1:11" s="21" customFormat="1" ht="14.1" customHeight="1">
      <c r="A345" s="374">
        <f t="shared" si="95"/>
        <v>329</v>
      </c>
      <c r="B345" s="22" t="s">
        <v>213</v>
      </c>
      <c r="C345" s="10">
        <v>161807.38</v>
      </c>
      <c r="D345" s="10">
        <f t="shared" si="101"/>
        <v>2427.3800000000047</v>
      </c>
      <c r="E345" s="10">
        <f>ROUND(C345*'Allocation Factors'!$G$16,0)</f>
        <v>159380</v>
      </c>
      <c r="F345" s="10">
        <f>'Sch 5'!C331</f>
        <v>0</v>
      </c>
      <c r="G345" s="10">
        <f t="shared" si="102"/>
        <v>159380</v>
      </c>
      <c r="H345" s="10"/>
      <c r="I345" s="15" t="s">
        <v>346</v>
      </c>
      <c r="J345" s="38"/>
      <c r="K345" s="89"/>
    </row>
    <row r="346" spans="1:11" s="21" customFormat="1" ht="14.1" customHeight="1">
      <c r="A346" s="374">
        <f t="shared" si="95"/>
        <v>330</v>
      </c>
      <c r="B346" s="22" t="s">
        <v>214</v>
      </c>
      <c r="C346" s="10">
        <v>0</v>
      </c>
      <c r="D346" s="10">
        <f t="shared" si="101"/>
        <v>0</v>
      </c>
      <c r="E346" s="10">
        <f>ROUND(C346*'Allocation Factors'!$G$16,0)</f>
        <v>0</v>
      </c>
      <c r="F346" s="10">
        <f>'Sch 5'!C332</f>
        <v>0</v>
      </c>
      <c r="G346" s="10">
        <f t="shared" si="102"/>
        <v>0</v>
      </c>
      <c r="H346" s="10"/>
      <c r="I346" s="15" t="s">
        <v>346</v>
      </c>
      <c r="J346" s="38"/>
      <c r="K346" s="89"/>
    </row>
    <row r="347" spans="1:11" s="21" customFormat="1" ht="14.1" customHeight="1">
      <c r="A347" s="374">
        <f t="shared" si="95"/>
        <v>331</v>
      </c>
      <c r="B347" s="22" t="s">
        <v>955</v>
      </c>
      <c r="C347" s="10">
        <v>27040523</v>
      </c>
      <c r="D347" s="10">
        <f t="shared" si="101"/>
        <v>0</v>
      </c>
      <c r="E347" s="10">
        <f>ROUND((C347-J347)*'Allocation Factors'!$G$34,0)</f>
        <v>27040523</v>
      </c>
      <c r="F347" s="10">
        <f>'Sch 5'!C333</f>
        <v>528754</v>
      </c>
      <c r="G347" s="10">
        <f>E347+F347</f>
        <v>27569277</v>
      </c>
      <c r="H347" s="10"/>
      <c r="I347" s="25" t="s">
        <v>362</v>
      </c>
      <c r="J347" s="38"/>
      <c r="K347" s="89"/>
    </row>
    <row r="348" spans="1:11" s="21" customFormat="1" ht="14.1" customHeight="1">
      <c r="A348" s="374">
        <f t="shared" si="95"/>
        <v>332</v>
      </c>
      <c r="B348" s="22" t="s">
        <v>885</v>
      </c>
      <c r="C348" s="10">
        <v>0</v>
      </c>
      <c r="D348" s="10">
        <f t="shared" si="101"/>
        <v>0</v>
      </c>
      <c r="E348" s="10">
        <f>ROUND((C348-J348)*'Allocation Factors'!$G$34,0)</f>
        <v>0</v>
      </c>
      <c r="F348" s="10">
        <f>'Sch 5'!C334</f>
        <v>0</v>
      </c>
      <c r="G348" s="10">
        <f>E348+F348</f>
        <v>0</v>
      </c>
      <c r="H348" s="10"/>
      <c r="I348" s="25" t="s">
        <v>362</v>
      </c>
      <c r="J348" s="38"/>
      <c r="K348" s="89"/>
    </row>
    <row r="349" spans="1:11" s="21" customFormat="1" ht="14.1" customHeight="1">
      <c r="A349" s="374">
        <f t="shared" si="95"/>
        <v>333</v>
      </c>
      <c r="B349" s="22" t="s">
        <v>830</v>
      </c>
      <c r="C349" s="10">
        <v>118609.60000000001</v>
      </c>
      <c r="D349" s="10">
        <f t="shared" si="101"/>
        <v>1779.6000000000058</v>
      </c>
      <c r="E349" s="10">
        <f>ROUND(C349*'Allocation Factors'!$G$16,0)</f>
        <v>116830</v>
      </c>
      <c r="F349" s="10">
        <f>'Sch 5'!C335</f>
        <v>0</v>
      </c>
      <c r="G349" s="10">
        <f>E349+F349</f>
        <v>116830</v>
      </c>
      <c r="H349" s="10"/>
      <c r="I349" s="25" t="s">
        <v>346</v>
      </c>
      <c r="J349" s="38"/>
      <c r="K349" s="38"/>
    </row>
    <row r="350" spans="1:11" s="21" customFormat="1" ht="14.1" customHeight="1">
      <c r="A350" s="374">
        <f t="shared" si="95"/>
        <v>334</v>
      </c>
      <c r="B350" s="22" t="s">
        <v>886</v>
      </c>
      <c r="C350" s="10">
        <v>24061</v>
      </c>
      <c r="D350" s="10">
        <f t="shared" si="101"/>
        <v>24061</v>
      </c>
      <c r="E350" s="10">
        <v>0</v>
      </c>
      <c r="F350" s="10">
        <f>'Sch 5'!C336</f>
        <v>0</v>
      </c>
      <c r="G350" s="10"/>
      <c r="H350" s="10"/>
      <c r="I350" s="25" t="s">
        <v>54</v>
      </c>
      <c r="J350" s="38"/>
      <c r="K350" s="38"/>
    </row>
    <row r="351" spans="1:11" s="21" customFormat="1" ht="14.1" customHeight="1">
      <c r="A351" s="374">
        <f t="shared" si="95"/>
        <v>335</v>
      </c>
      <c r="B351" s="22" t="s">
        <v>215</v>
      </c>
      <c r="C351" s="10">
        <f>1413204.2+0.66</f>
        <v>1413204.8599999999</v>
      </c>
      <c r="D351" s="10">
        <f t="shared" si="101"/>
        <v>21197.85999999987</v>
      </c>
      <c r="E351" s="10">
        <f>ROUND(C351*'Allocation Factors'!$G$16,0)</f>
        <v>1392007</v>
      </c>
      <c r="F351" s="10">
        <f>'Sch 5'!C337</f>
        <v>498.01</v>
      </c>
      <c r="G351" s="10">
        <f>E351+F351</f>
        <v>1392505.01</v>
      </c>
      <c r="H351" s="10"/>
      <c r="I351" s="15" t="s">
        <v>346</v>
      </c>
      <c r="J351" s="38"/>
    </row>
    <row r="352" spans="1:11" ht="14.1" customHeight="1">
      <c r="A352" s="374">
        <f t="shared" si="95"/>
        <v>336</v>
      </c>
      <c r="B352" s="56" t="s">
        <v>216</v>
      </c>
      <c r="C352" s="43">
        <f>-4.82+42540</f>
        <v>42535.18</v>
      </c>
      <c r="D352" s="10">
        <f t="shared" si="101"/>
        <v>638.18000000000029</v>
      </c>
      <c r="E352" s="10">
        <f>ROUND(C352*'Allocation Factors'!$G$16,0)</f>
        <v>41897</v>
      </c>
      <c r="F352" s="10">
        <f>'Sch 5'!C338</f>
        <v>0</v>
      </c>
      <c r="G352" s="10">
        <f>E352+F352</f>
        <v>41897</v>
      </c>
      <c r="H352" s="10"/>
      <c r="I352" s="15" t="s">
        <v>346</v>
      </c>
      <c r="J352" s="38"/>
    </row>
    <row r="353" spans="1:17" ht="14.1" customHeight="1">
      <c r="A353" s="374">
        <f t="shared" si="95"/>
        <v>337</v>
      </c>
      <c r="B353" s="20" t="s">
        <v>507</v>
      </c>
      <c r="C353" s="86">
        <f t="shared" ref="C353:G353" si="103">SUM(C341:C352)</f>
        <v>32770996.52</v>
      </c>
      <c r="D353" s="86">
        <f t="shared" si="103"/>
        <v>109656.51999999993</v>
      </c>
      <c r="E353" s="86">
        <f t="shared" si="103"/>
        <v>32661340</v>
      </c>
      <c r="F353" s="86">
        <f t="shared" si="103"/>
        <v>598369.01</v>
      </c>
      <c r="G353" s="86">
        <f t="shared" si="103"/>
        <v>33259709.010000002</v>
      </c>
      <c r="H353" s="86"/>
      <c r="I353" s="152"/>
      <c r="J353" s="38"/>
    </row>
    <row r="354" spans="1:17" ht="14.1" customHeight="1">
      <c r="A354" s="374">
        <f t="shared" si="95"/>
        <v>338</v>
      </c>
      <c r="B354" s="134"/>
      <c r="C354" s="16"/>
      <c r="D354" s="16"/>
      <c r="E354" s="16"/>
      <c r="F354" s="16"/>
      <c r="G354" s="43"/>
      <c r="H354" s="43"/>
      <c r="I354" s="15"/>
      <c r="J354" s="38"/>
    </row>
    <row r="355" spans="1:17" ht="14.1" customHeight="1">
      <c r="A355" s="374">
        <f t="shared" si="95"/>
        <v>339</v>
      </c>
      <c r="B355" s="20" t="s">
        <v>218</v>
      </c>
      <c r="C355" s="16"/>
      <c r="D355" s="16"/>
      <c r="E355" s="16"/>
      <c r="F355" s="16"/>
      <c r="G355" s="10"/>
      <c r="H355" s="10"/>
      <c r="I355" s="15"/>
      <c r="J355" s="38"/>
    </row>
    <row r="356" spans="1:17" ht="14.1" customHeight="1">
      <c r="A356" s="374">
        <f t="shared" si="95"/>
        <v>340</v>
      </c>
      <c r="B356" s="22" t="s">
        <v>219</v>
      </c>
      <c r="C356" s="10">
        <v>24937.3</v>
      </c>
      <c r="D356" s="10">
        <f t="shared" ref="D356:D362" si="104">C356-E356</f>
        <v>374.29999999999927</v>
      </c>
      <c r="E356" s="10">
        <f>ROUND(C356*'Allocation Factors'!$G$16,0)</f>
        <v>24563</v>
      </c>
      <c r="F356" s="10">
        <f>'Sch 5'!C342</f>
        <v>0</v>
      </c>
      <c r="G356" s="10">
        <f t="shared" ref="G356:G362" si="105">E356+F356</f>
        <v>24563</v>
      </c>
      <c r="H356" s="10"/>
      <c r="I356" s="15" t="s">
        <v>346</v>
      </c>
      <c r="J356" s="38"/>
    </row>
    <row r="357" spans="1:17" ht="14.1" customHeight="1">
      <c r="A357" s="374">
        <f t="shared" si="95"/>
        <v>341</v>
      </c>
      <c r="B357" s="22" t="s">
        <v>220</v>
      </c>
      <c r="C357" s="10">
        <f>22275.57+2236.22+115619.71+4308.19</f>
        <v>144439.69</v>
      </c>
      <c r="D357" s="10">
        <f t="shared" si="104"/>
        <v>2166.6900000000023</v>
      </c>
      <c r="E357" s="10">
        <f>ROUND(C357*'Allocation Factors'!$G$16,0)</f>
        <v>142273</v>
      </c>
      <c r="F357" s="10">
        <f>'Sch 5'!C343</f>
        <v>0</v>
      </c>
      <c r="G357" s="10">
        <f t="shared" si="105"/>
        <v>142273</v>
      </c>
      <c r="H357" s="10"/>
      <c r="I357" s="15" t="s">
        <v>346</v>
      </c>
      <c r="J357" s="38"/>
    </row>
    <row r="358" spans="1:17" ht="14.1" customHeight="1">
      <c r="A358" s="374">
        <f t="shared" si="95"/>
        <v>342</v>
      </c>
      <c r="B358" s="22" t="s">
        <v>221</v>
      </c>
      <c r="C358" s="10">
        <v>728635.14</v>
      </c>
      <c r="D358" s="10">
        <f t="shared" si="104"/>
        <v>10929.140000000014</v>
      </c>
      <c r="E358" s="10">
        <f>ROUND(C358*'Allocation Factors'!$G$16,0)</f>
        <v>717706</v>
      </c>
      <c r="F358" s="10">
        <f>'Sch 5'!C344</f>
        <v>0</v>
      </c>
      <c r="G358" s="10">
        <f t="shared" si="105"/>
        <v>717706</v>
      </c>
      <c r="H358" s="10"/>
      <c r="I358" s="15" t="s">
        <v>346</v>
      </c>
      <c r="J358" s="38"/>
    </row>
    <row r="359" spans="1:17" ht="14.1" customHeight="1">
      <c r="A359" s="374">
        <f t="shared" si="95"/>
        <v>343</v>
      </c>
      <c r="B359" s="22" t="s">
        <v>222</v>
      </c>
      <c r="C359" s="10">
        <v>1862825.98</v>
      </c>
      <c r="D359" s="10">
        <f t="shared" si="104"/>
        <v>27941.979999999981</v>
      </c>
      <c r="E359" s="10">
        <f>ROUND(C359*'Allocation Factors'!$G$16,0)</f>
        <v>1834884</v>
      </c>
      <c r="F359" s="10">
        <f>'Sch 5'!C345</f>
        <v>-1658.61</v>
      </c>
      <c r="G359" s="10">
        <f t="shared" si="105"/>
        <v>1833225.39</v>
      </c>
      <c r="H359" s="10"/>
      <c r="I359" s="15" t="s">
        <v>346</v>
      </c>
      <c r="J359" s="38"/>
    </row>
    <row r="360" spans="1:17" ht="14.1" customHeight="1">
      <c r="A360" s="374">
        <f t="shared" si="95"/>
        <v>344</v>
      </c>
      <c r="B360" s="22" t="s">
        <v>223</v>
      </c>
      <c r="C360" s="10">
        <v>170.62</v>
      </c>
      <c r="D360" s="10">
        <f t="shared" si="104"/>
        <v>2.6200000000000045</v>
      </c>
      <c r="E360" s="10">
        <f>ROUND(C360*'Allocation Factors'!$G$16,0)</f>
        <v>168</v>
      </c>
      <c r="F360" s="10">
        <f>'Sch 5'!C346</f>
        <v>0</v>
      </c>
      <c r="G360" s="10">
        <f t="shared" si="105"/>
        <v>168</v>
      </c>
      <c r="H360" s="10"/>
      <c r="I360" s="15" t="s">
        <v>346</v>
      </c>
      <c r="J360" s="38"/>
    </row>
    <row r="361" spans="1:17" ht="14.1" customHeight="1">
      <c r="A361" s="374">
        <f t="shared" si="95"/>
        <v>345</v>
      </c>
      <c r="B361" s="22" t="s">
        <v>224</v>
      </c>
      <c r="C361" s="43">
        <v>456559.72</v>
      </c>
      <c r="D361" s="10">
        <f t="shared" si="104"/>
        <v>6848.7199999999721</v>
      </c>
      <c r="E361" s="10">
        <f>ROUND(C361*'Allocation Factors'!$G$16,0)</f>
        <v>449711</v>
      </c>
      <c r="F361" s="10">
        <f>'Sch 5'!C347</f>
        <v>0</v>
      </c>
      <c r="G361" s="10">
        <f t="shared" si="105"/>
        <v>449711</v>
      </c>
      <c r="H361" s="10"/>
      <c r="I361" s="15" t="s">
        <v>346</v>
      </c>
      <c r="J361" s="38"/>
    </row>
    <row r="362" spans="1:17" ht="14.1" customHeight="1">
      <c r="A362" s="374">
        <f t="shared" si="95"/>
        <v>346</v>
      </c>
      <c r="B362" s="56" t="s">
        <v>225</v>
      </c>
      <c r="C362" s="43">
        <f>153798.86+853571.18</f>
        <v>1007370.04</v>
      </c>
      <c r="D362" s="10">
        <f t="shared" si="104"/>
        <v>15111.040000000037</v>
      </c>
      <c r="E362" s="10">
        <f>ROUND(C362*'Allocation Factors'!$G$16,0)</f>
        <v>992259</v>
      </c>
      <c r="F362" s="64">
        <f>'Sch 5'!C348</f>
        <v>49489</v>
      </c>
      <c r="G362" s="10">
        <f t="shared" si="105"/>
        <v>1041748</v>
      </c>
      <c r="H362" s="10"/>
      <c r="I362" s="15" t="s">
        <v>346</v>
      </c>
      <c r="J362" s="38"/>
    </row>
    <row r="363" spans="1:17" ht="14.1" customHeight="1">
      <c r="A363" s="374">
        <f t="shared" si="95"/>
        <v>347</v>
      </c>
      <c r="B363" s="20" t="s">
        <v>508</v>
      </c>
      <c r="C363" s="166">
        <f t="shared" ref="C363:G363" si="106">SUM(C356:C362)</f>
        <v>4224938.49</v>
      </c>
      <c r="D363" s="166">
        <f t="shared" si="106"/>
        <v>63374.490000000013</v>
      </c>
      <c r="E363" s="166">
        <f t="shared" si="106"/>
        <v>4161564</v>
      </c>
      <c r="F363" s="10">
        <f t="shared" si="106"/>
        <v>47830.39</v>
      </c>
      <c r="G363" s="167">
        <f t="shared" si="106"/>
        <v>4209394.3899999997</v>
      </c>
      <c r="H363" s="167"/>
      <c r="I363" s="152"/>
      <c r="J363" s="38"/>
    </row>
    <row r="364" spans="1:17" ht="14.1" customHeight="1">
      <c r="A364" s="374">
        <f t="shared" si="95"/>
        <v>348</v>
      </c>
      <c r="B364" s="57"/>
      <c r="C364" s="156"/>
      <c r="D364" s="156"/>
      <c r="E364" s="156"/>
      <c r="F364" s="156"/>
      <c r="G364" s="64"/>
      <c r="H364" s="64"/>
      <c r="I364" s="140"/>
      <c r="J364" s="38"/>
    </row>
    <row r="365" spans="1:17" ht="14.1" customHeight="1">
      <c r="A365" s="374">
        <f t="shared" si="95"/>
        <v>349</v>
      </c>
      <c r="B365" s="20" t="s">
        <v>509</v>
      </c>
      <c r="C365" s="168">
        <f t="shared" ref="C365:G365" si="107">C353+C363</f>
        <v>36995935.009999998</v>
      </c>
      <c r="D365" s="168">
        <f t="shared" si="107"/>
        <v>173031.00999999995</v>
      </c>
      <c r="E365" s="168">
        <f t="shared" si="107"/>
        <v>36822904</v>
      </c>
      <c r="F365" s="10">
        <f t="shared" si="107"/>
        <v>646199.4</v>
      </c>
      <c r="G365" s="168">
        <f t="shared" si="107"/>
        <v>37469103.399999999</v>
      </c>
      <c r="H365" s="12"/>
      <c r="I365" s="17"/>
      <c r="J365" s="38"/>
    </row>
    <row r="366" spans="1:17" ht="14.1" customHeight="1">
      <c r="A366" s="374">
        <f t="shared" si="95"/>
        <v>350</v>
      </c>
      <c r="B366" s="134"/>
      <c r="C366" s="16"/>
      <c r="D366" s="16"/>
      <c r="E366" s="12"/>
      <c r="F366" s="16"/>
      <c r="G366" s="43"/>
      <c r="H366" s="43"/>
      <c r="I366" s="15"/>
      <c r="J366" s="38"/>
      <c r="P366" s="21"/>
      <c r="Q366" s="21"/>
    </row>
    <row r="367" spans="1:17" ht="14.1" customHeight="1">
      <c r="A367" s="374">
        <f t="shared" si="95"/>
        <v>351</v>
      </c>
      <c r="B367" s="13" t="s">
        <v>228</v>
      </c>
      <c r="C367" s="43"/>
      <c r="D367" s="43"/>
      <c r="E367" s="43"/>
      <c r="F367" s="10"/>
      <c r="G367" s="10"/>
      <c r="H367" s="10"/>
      <c r="I367" s="15"/>
      <c r="J367" s="38"/>
      <c r="P367" s="21"/>
      <c r="Q367" s="21"/>
    </row>
    <row r="368" spans="1:17" ht="14.1" customHeight="1">
      <c r="A368" s="374">
        <f t="shared" si="95"/>
        <v>352</v>
      </c>
      <c r="B368" s="22" t="s">
        <v>229</v>
      </c>
      <c r="C368" s="10">
        <v>700697.33</v>
      </c>
      <c r="D368" s="43">
        <f t="shared" ref="D368:D377" si="108">C368-E368</f>
        <v>700.32999999995809</v>
      </c>
      <c r="E368" s="43">
        <f>ROUND(C368*'Allocation Factors'!$G$18,0)</f>
        <v>699997</v>
      </c>
      <c r="F368" s="10">
        <f>'Sch 5'!C354</f>
        <v>-4982.76</v>
      </c>
      <c r="G368" s="10">
        <f t="shared" ref="G368:G377" si="109">E368+F368</f>
        <v>695014.24</v>
      </c>
      <c r="H368" s="10"/>
      <c r="I368" s="205" t="s">
        <v>348</v>
      </c>
      <c r="J368" s="38"/>
      <c r="P368" s="21"/>
      <c r="Q368" s="21"/>
    </row>
    <row r="369" spans="1:17" ht="14.1" customHeight="1">
      <c r="A369" s="374">
        <f t="shared" si="95"/>
        <v>353</v>
      </c>
      <c r="B369" s="22" t="s">
        <v>230</v>
      </c>
      <c r="C369" s="10">
        <v>2199.5500000000002</v>
      </c>
      <c r="D369" s="43">
        <f t="shared" si="108"/>
        <v>2.5500000000001819</v>
      </c>
      <c r="E369" s="43">
        <f>ROUND(C369*'Allocation Factors'!$G$18,0)</f>
        <v>2197</v>
      </c>
      <c r="F369" s="10">
        <f>'Sch 5'!C355</f>
        <v>0</v>
      </c>
      <c r="G369" s="10">
        <f t="shared" si="109"/>
        <v>2197</v>
      </c>
      <c r="H369" s="10"/>
      <c r="I369" s="205" t="s">
        <v>348</v>
      </c>
      <c r="J369" s="38"/>
      <c r="P369" s="21"/>
      <c r="Q369" s="21"/>
    </row>
    <row r="370" spans="1:17" ht="14.1" customHeight="1">
      <c r="A370" s="374">
        <f t="shared" si="95"/>
        <v>354</v>
      </c>
      <c r="B370" s="22" t="s">
        <v>231</v>
      </c>
      <c r="C370" s="10">
        <v>246968.76</v>
      </c>
      <c r="D370" s="43">
        <f t="shared" si="108"/>
        <v>246.76000000000931</v>
      </c>
      <c r="E370" s="43">
        <f>ROUND(C370*'Allocation Factors'!$G$18,0)</f>
        <v>246722</v>
      </c>
      <c r="F370" s="10">
        <f>'Sch 5'!C356</f>
        <v>0</v>
      </c>
      <c r="G370" s="10">
        <f t="shared" si="109"/>
        <v>246722</v>
      </c>
      <c r="H370" s="10"/>
      <c r="I370" s="205" t="s">
        <v>348</v>
      </c>
      <c r="J370" s="38"/>
      <c r="P370" s="21"/>
      <c r="Q370" s="21"/>
    </row>
    <row r="371" spans="1:17" ht="14.1" customHeight="1">
      <c r="A371" s="374">
        <f t="shared" si="95"/>
        <v>355</v>
      </c>
      <c r="B371" s="22" t="s">
        <v>232</v>
      </c>
      <c r="C371" s="10">
        <v>977496.07</v>
      </c>
      <c r="D371" s="43">
        <f t="shared" si="108"/>
        <v>977.06999999994878</v>
      </c>
      <c r="E371" s="43">
        <f>ROUND(C371*'Allocation Factors'!$G$18,0)</f>
        <v>976519</v>
      </c>
      <c r="F371" s="10">
        <f>'Sch 5'!C357</f>
        <v>48145.55</v>
      </c>
      <c r="G371" s="10">
        <f t="shared" si="109"/>
        <v>1024664.55</v>
      </c>
      <c r="H371" s="10"/>
      <c r="I371" s="205" t="s">
        <v>348</v>
      </c>
      <c r="J371" s="38"/>
      <c r="P371" s="21"/>
      <c r="Q371" s="21"/>
    </row>
    <row r="372" spans="1:17" ht="14.1" customHeight="1">
      <c r="A372" s="374">
        <f t="shared" si="95"/>
        <v>356</v>
      </c>
      <c r="B372" s="22" t="s">
        <v>233</v>
      </c>
      <c r="C372" s="10">
        <v>123189.28</v>
      </c>
      <c r="D372" s="43">
        <f t="shared" si="108"/>
        <v>123.27999999999884</v>
      </c>
      <c r="E372" s="43">
        <f>ROUND(C372*'Allocation Factors'!$G$18,0)</f>
        <v>123066</v>
      </c>
      <c r="F372" s="10">
        <f>'Sch 5'!C358</f>
        <v>-391.64</v>
      </c>
      <c r="G372" s="10">
        <f t="shared" si="109"/>
        <v>122674.36</v>
      </c>
      <c r="H372" s="10"/>
      <c r="I372" s="205" t="s">
        <v>348</v>
      </c>
      <c r="J372" s="38"/>
      <c r="P372" s="21"/>
      <c r="Q372" s="21"/>
    </row>
    <row r="373" spans="1:17" ht="14.1" customHeight="1">
      <c r="A373" s="374">
        <f t="shared" si="95"/>
        <v>357</v>
      </c>
      <c r="B373" s="22" t="s">
        <v>234</v>
      </c>
      <c r="C373" s="10">
        <v>203621.03</v>
      </c>
      <c r="D373" s="43">
        <f t="shared" si="108"/>
        <v>204.02999999999884</v>
      </c>
      <c r="E373" s="43">
        <f>ROUND(C373*'Allocation Factors'!$G$18,0)</f>
        <v>203417</v>
      </c>
      <c r="F373" s="10">
        <f>'Sch 5'!C359</f>
        <v>-276.27999999999997</v>
      </c>
      <c r="G373" s="10">
        <f t="shared" si="109"/>
        <v>203140.72</v>
      </c>
      <c r="H373" s="10"/>
      <c r="I373" s="205" t="s">
        <v>348</v>
      </c>
      <c r="J373" s="38"/>
      <c r="P373" s="21"/>
      <c r="Q373" s="21"/>
    </row>
    <row r="374" spans="1:17" ht="14.1" customHeight="1">
      <c r="A374" s="374">
        <f t="shared" si="95"/>
        <v>358</v>
      </c>
      <c r="B374" s="22" t="s">
        <v>235</v>
      </c>
      <c r="C374" s="10">
        <v>1066178.96</v>
      </c>
      <c r="D374" s="43">
        <f t="shared" si="108"/>
        <v>1065.9599999999627</v>
      </c>
      <c r="E374" s="43">
        <f>ROUND(C374*'Allocation Factors'!$G$18,0)</f>
        <v>1065113</v>
      </c>
      <c r="F374" s="10">
        <f>'Sch 5'!C360</f>
        <v>-15430.34</v>
      </c>
      <c r="G374" s="10">
        <f t="shared" si="109"/>
        <v>1049682.6599999999</v>
      </c>
      <c r="H374" s="10"/>
      <c r="I374" s="205" t="s">
        <v>348</v>
      </c>
      <c r="J374" s="38"/>
      <c r="P374" s="21"/>
      <c r="Q374" s="21"/>
    </row>
    <row r="375" spans="1:17" ht="14.1" customHeight="1">
      <c r="A375" s="374">
        <f t="shared" ref="A375:A438" si="110">+A374+1</f>
        <v>359</v>
      </c>
      <c r="B375" s="22" t="s">
        <v>236</v>
      </c>
      <c r="C375" s="10">
        <v>149687.34</v>
      </c>
      <c r="D375" s="43">
        <f t="shared" si="108"/>
        <v>149.33999999999651</v>
      </c>
      <c r="E375" s="43">
        <f>ROUND(C375*'Allocation Factors'!$G$18,0)</f>
        <v>149538</v>
      </c>
      <c r="F375" s="10">
        <f>'Sch 5'!C361</f>
        <v>-5908.7</v>
      </c>
      <c r="G375" s="10">
        <f t="shared" si="109"/>
        <v>143629.29999999999</v>
      </c>
      <c r="H375" s="10"/>
      <c r="I375" s="205" t="s">
        <v>348</v>
      </c>
      <c r="J375" s="38"/>
      <c r="P375" s="21"/>
      <c r="Q375" s="21"/>
    </row>
    <row r="376" spans="1:17" s="21" customFormat="1" ht="14.1" customHeight="1">
      <c r="A376" s="374">
        <f t="shared" si="110"/>
        <v>360</v>
      </c>
      <c r="B376" s="22" t="s">
        <v>237</v>
      </c>
      <c r="C376" s="10">
        <v>3797116.13</v>
      </c>
      <c r="D376" s="43">
        <f t="shared" si="108"/>
        <v>3797.1299999998882</v>
      </c>
      <c r="E376" s="43">
        <f>ROUND(C376*'Allocation Factors'!$G$18,0)</f>
        <v>3793319</v>
      </c>
      <c r="F376" s="10">
        <f>'Sch 5'!C362</f>
        <v>-87212.489999999991</v>
      </c>
      <c r="G376" s="10">
        <f t="shared" si="109"/>
        <v>3706106.51</v>
      </c>
      <c r="H376" s="10"/>
      <c r="I376" s="205" t="s">
        <v>348</v>
      </c>
      <c r="J376" s="38"/>
      <c r="K376" s="89"/>
      <c r="L376" s="89"/>
      <c r="M376" s="89"/>
      <c r="N376" s="89"/>
      <c r="O376" s="89"/>
    </row>
    <row r="377" spans="1:17" s="21" customFormat="1" ht="14.1" customHeight="1">
      <c r="A377" s="374">
        <f t="shared" si="110"/>
        <v>361</v>
      </c>
      <c r="B377" s="56" t="s">
        <v>238</v>
      </c>
      <c r="C377" s="43">
        <f>1648391.24+64425.12</f>
        <v>1712816.36</v>
      </c>
      <c r="D377" s="43">
        <f t="shared" si="108"/>
        <v>1712.3600000001024</v>
      </c>
      <c r="E377" s="43">
        <f>ROUND(C377*'Allocation Factors'!$G$18,0)</f>
        <v>1711104</v>
      </c>
      <c r="F377" s="10">
        <f>'Sch 5'!C363</f>
        <v>0</v>
      </c>
      <c r="G377" s="10">
        <f t="shared" si="109"/>
        <v>1711104</v>
      </c>
      <c r="H377" s="10"/>
      <c r="I377" s="205" t="s">
        <v>348</v>
      </c>
      <c r="J377" s="38"/>
      <c r="K377" s="89"/>
      <c r="L377" s="89"/>
      <c r="M377" s="89"/>
      <c r="N377" s="89"/>
      <c r="O377" s="89"/>
    </row>
    <row r="378" spans="1:17" ht="14.1" customHeight="1">
      <c r="A378" s="374">
        <f t="shared" si="110"/>
        <v>362</v>
      </c>
      <c r="B378" s="20" t="s">
        <v>510</v>
      </c>
      <c r="C378" s="86">
        <f t="shared" ref="C378:G378" si="111">SUM(C368:C377)</f>
        <v>8979970.8099999987</v>
      </c>
      <c r="D378" s="86">
        <f t="shared" si="111"/>
        <v>8978.8099999998631</v>
      </c>
      <c r="E378" s="86">
        <f t="shared" si="111"/>
        <v>8970992</v>
      </c>
      <c r="F378" s="86">
        <f t="shared" si="111"/>
        <v>-66056.659999999989</v>
      </c>
      <c r="G378" s="47">
        <f t="shared" si="111"/>
        <v>8904935.3399999999</v>
      </c>
      <c r="H378" s="47"/>
      <c r="I378" s="164"/>
      <c r="J378" s="38"/>
    </row>
    <row r="379" spans="1:17" ht="14.1" customHeight="1">
      <c r="A379" s="374">
        <f t="shared" si="110"/>
        <v>363</v>
      </c>
      <c r="B379" s="169"/>
      <c r="C379" s="16"/>
      <c r="D379" s="16"/>
      <c r="E379" s="135"/>
      <c r="F379" s="16"/>
      <c r="G379" s="43"/>
      <c r="H379" s="43"/>
      <c r="I379" s="15"/>
      <c r="J379" s="38"/>
    </row>
    <row r="380" spans="1:17" ht="14.1" customHeight="1">
      <c r="A380" s="374">
        <f t="shared" si="110"/>
        <v>364</v>
      </c>
      <c r="B380" s="22" t="s">
        <v>239</v>
      </c>
      <c r="C380" s="10">
        <v>4099.6400000000003</v>
      </c>
      <c r="D380" s="43">
        <f t="shared" ref="D380:D390" si="112">C380-E380</f>
        <v>3.6400000000003274</v>
      </c>
      <c r="E380" s="43">
        <f>ROUND(C380*'Allocation Factors'!$G$18,0)</f>
        <v>4096</v>
      </c>
      <c r="F380" s="10">
        <f>'Sch 5'!C366</f>
        <v>3.6300000000000008</v>
      </c>
      <c r="G380" s="10">
        <f t="shared" ref="G380:G390" si="113">E380+F380</f>
        <v>4099.63</v>
      </c>
      <c r="H380" s="10"/>
      <c r="I380" s="205" t="s">
        <v>348</v>
      </c>
      <c r="J380" s="38"/>
    </row>
    <row r="381" spans="1:17" ht="14.1" customHeight="1">
      <c r="A381" s="374">
        <f t="shared" si="110"/>
        <v>365</v>
      </c>
      <c r="B381" s="22" t="s">
        <v>240</v>
      </c>
      <c r="C381" s="10">
        <v>27622.59</v>
      </c>
      <c r="D381" s="43">
        <f t="shared" si="112"/>
        <v>27.590000000000146</v>
      </c>
      <c r="E381" s="43">
        <f>ROUND(C381*'Allocation Factors'!$G$18,0)</f>
        <v>27595</v>
      </c>
      <c r="F381" s="10">
        <f>'Sch 5'!C367</f>
        <v>0</v>
      </c>
      <c r="G381" s="10">
        <f t="shared" si="113"/>
        <v>27595</v>
      </c>
      <c r="H381" s="10"/>
      <c r="I381" s="205" t="s">
        <v>348</v>
      </c>
      <c r="J381" s="38"/>
    </row>
    <row r="382" spans="1:17" ht="13.15" customHeight="1">
      <c r="A382" s="374">
        <f t="shared" si="110"/>
        <v>366</v>
      </c>
      <c r="B382" s="22" t="s">
        <v>241</v>
      </c>
      <c r="C382" s="10">
        <v>430467.5</v>
      </c>
      <c r="D382" s="43">
        <f t="shared" si="112"/>
        <v>430.5</v>
      </c>
      <c r="E382" s="43">
        <f>ROUND(C382*'Allocation Factors'!$G$18,0)</f>
        <v>430037</v>
      </c>
      <c r="F382" s="10">
        <f>'Sch 5'!C368</f>
        <v>0</v>
      </c>
      <c r="G382" s="10">
        <f t="shared" si="113"/>
        <v>430037</v>
      </c>
      <c r="H382" s="10"/>
      <c r="I382" s="205" t="s">
        <v>348</v>
      </c>
      <c r="J382" s="38"/>
    </row>
    <row r="383" spans="1:17" ht="14.1" customHeight="1">
      <c r="A383" s="374">
        <f t="shared" si="110"/>
        <v>367</v>
      </c>
      <c r="B383" s="22" t="s">
        <v>242</v>
      </c>
      <c r="C383" s="10">
        <v>36512511.979999997</v>
      </c>
      <c r="D383" s="43">
        <f t="shared" si="112"/>
        <v>36512.979999996722</v>
      </c>
      <c r="E383" s="43">
        <f>ROUND(C383*'Allocation Factors'!$G$18,0)</f>
        <v>36475999</v>
      </c>
      <c r="F383" s="10">
        <f>'Sch 5'!C369</f>
        <v>-6877535.6900000004</v>
      </c>
      <c r="G383" s="10">
        <f t="shared" si="113"/>
        <v>29598463.309999999</v>
      </c>
      <c r="H383" s="10"/>
      <c r="I383" s="205" t="s">
        <v>348</v>
      </c>
      <c r="J383" s="38"/>
    </row>
    <row r="384" spans="1:17" ht="12.75" customHeight="1">
      <c r="A384" s="374">
        <f t="shared" si="110"/>
        <v>368</v>
      </c>
      <c r="B384" s="22" t="s">
        <v>322</v>
      </c>
      <c r="C384" s="10">
        <v>2429199.96</v>
      </c>
      <c r="D384" s="43">
        <f t="shared" si="112"/>
        <v>2428.9599999999627</v>
      </c>
      <c r="E384" s="43">
        <f>ROUND(C384*'Allocation Factors'!$G$18,0)</f>
        <v>2426771</v>
      </c>
      <c r="F384" s="10">
        <f>'Sch 5'!C370</f>
        <v>249524</v>
      </c>
      <c r="G384" s="10">
        <f t="shared" si="113"/>
        <v>2676295</v>
      </c>
      <c r="H384" s="10"/>
      <c r="I384" s="205" t="s">
        <v>348</v>
      </c>
      <c r="J384" s="38"/>
    </row>
    <row r="385" spans="1:14" ht="14.1" customHeight="1">
      <c r="A385" s="374">
        <f t="shared" si="110"/>
        <v>369</v>
      </c>
      <c r="B385" s="22" t="s">
        <v>243</v>
      </c>
      <c r="C385" s="10">
        <v>744215.32</v>
      </c>
      <c r="D385" s="43">
        <f t="shared" si="112"/>
        <v>744.31999999994878</v>
      </c>
      <c r="E385" s="43">
        <f>ROUND(C385*'Allocation Factors'!$G$18,0)</f>
        <v>743471</v>
      </c>
      <c r="F385" s="10">
        <f>'Sch 5'!C371</f>
        <v>0</v>
      </c>
      <c r="G385" s="10">
        <f t="shared" si="113"/>
        <v>743471</v>
      </c>
      <c r="H385" s="10"/>
      <c r="I385" s="205" t="s">
        <v>348</v>
      </c>
      <c r="J385" s="38"/>
    </row>
    <row r="386" spans="1:14" ht="14.1" customHeight="1">
      <c r="A386" s="374">
        <f t="shared" si="110"/>
        <v>370</v>
      </c>
      <c r="B386" s="22" t="s">
        <v>244</v>
      </c>
      <c r="C386" s="10">
        <v>86225.83</v>
      </c>
      <c r="D386" s="43">
        <f t="shared" si="112"/>
        <v>85.830000000001746</v>
      </c>
      <c r="E386" s="43">
        <f>ROUND(C386*'Allocation Factors'!$G$18,0)</f>
        <v>86140</v>
      </c>
      <c r="F386" s="10">
        <f>'Sch 5'!C372</f>
        <v>-2085.3599999999997</v>
      </c>
      <c r="G386" s="10">
        <f t="shared" si="113"/>
        <v>84054.64</v>
      </c>
      <c r="H386" s="10"/>
      <c r="I386" s="205" t="s">
        <v>348</v>
      </c>
      <c r="J386" s="38"/>
    </row>
    <row r="387" spans="1:14" ht="14.1" customHeight="1">
      <c r="A387" s="374">
        <f t="shared" si="110"/>
        <v>371</v>
      </c>
      <c r="B387" s="22" t="s">
        <v>245</v>
      </c>
      <c r="C387" s="10">
        <v>52737.89</v>
      </c>
      <c r="D387" s="43">
        <f t="shared" si="112"/>
        <v>52.889999999999418</v>
      </c>
      <c r="E387" s="43">
        <f>ROUND(C387*'Allocation Factors'!$G$18,0)</f>
        <v>52685</v>
      </c>
      <c r="F387" s="10">
        <f>'Sch 5'!C373</f>
        <v>-1519.94</v>
      </c>
      <c r="G387" s="10">
        <f t="shared" si="113"/>
        <v>51165.06</v>
      </c>
      <c r="H387" s="10"/>
      <c r="I387" s="205" t="s">
        <v>348</v>
      </c>
      <c r="J387" s="38"/>
    </row>
    <row r="388" spans="1:14" s="21" customFormat="1" ht="14.1" customHeight="1">
      <c r="A388" s="374">
        <f t="shared" si="110"/>
        <v>372</v>
      </c>
      <c r="B388" s="22" t="s">
        <v>246</v>
      </c>
      <c r="C388" s="10">
        <v>25239.02</v>
      </c>
      <c r="D388" s="43">
        <f t="shared" si="112"/>
        <v>25.020000000000437</v>
      </c>
      <c r="E388" s="43">
        <f>ROUND(C388*'Allocation Factors'!$G$18,0)</f>
        <v>25214</v>
      </c>
      <c r="F388" s="10">
        <f>'Sch 5'!C374</f>
        <v>-346.2</v>
      </c>
      <c r="G388" s="10">
        <f t="shared" si="113"/>
        <v>24867.8</v>
      </c>
      <c r="H388" s="10"/>
      <c r="I388" s="205" t="s">
        <v>348</v>
      </c>
      <c r="J388" s="38"/>
      <c r="K388" s="89"/>
      <c r="L388" s="89"/>
      <c r="M388" s="89"/>
      <c r="N388" s="89"/>
    </row>
    <row r="389" spans="1:14" ht="14.1" customHeight="1">
      <c r="A389" s="374">
        <f t="shared" si="110"/>
        <v>373</v>
      </c>
      <c r="B389" s="22" t="s">
        <v>247</v>
      </c>
      <c r="C389" s="10">
        <v>77730.83</v>
      </c>
      <c r="D389" s="43">
        <f t="shared" si="112"/>
        <v>77.830000000001746</v>
      </c>
      <c r="E389" s="43">
        <f>ROUND(C389*'Allocation Factors'!$G$18,0)</f>
        <v>77653</v>
      </c>
      <c r="F389" s="10">
        <f>'Sch 5'!C375</f>
        <v>168.30999999999995</v>
      </c>
      <c r="G389" s="10">
        <f t="shared" si="113"/>
        <v>77821.31</v>
      </c>
      <c r="H389" s="10"/>
      <c r="I389" s="205" t="s">
        <v>348</v>
      </c>
      <c r="J389" s="38"/>
    </row>
    <row r="390" spans="1:14" ht="14.1" customHeight="1">
      <c r="A390" s="374">
        <f t="shared" si="110"/>
        <v>374</v>
      </c>
      <c r="B390" s="56" t="s">
        <v>248</v>
      </c>
      <c r="C390" s="43">
        <v>61211.519999999997</v>
      </c>
      <c r="D390" s="43">
        <f t="shared" si="112"/>
        <v>61.519999999996799</v>
      </c>
      <c r="E390" s="43">
        <f>ROUND(C390*'Allocation Factors'!$G$18,0)</f>
        <v>61150</v>
      </c>
      <c r="F390" s="10">
        <f>'Sch 5'!C376</f>
        <v>-607.02</v>
      </c>
      <c r="G390" s="10">
        <f t="shared" si="113"/>
        <v>60542.98</v>
      </c>
      <c r="H390" s="10"/>
      <c r="I390" s="205" t="s">
        <v>348</v>
      </c>
      <c r="J390" s="38"/>
    </row>
    <row r="391" spans="1:14" ht="14.1" customHeight="1">
      <c r="A391" s="374">
        <f t="shared" si="110"/>
        <v>375</v>
      </c>
      <c r="B391" s="20" t="s">
        <v>511</v>
      </c>
      <c r="C391" s="47">
        <f t="shared" ref="C391:G391" si="114">SUM(C380:C390)</f>
        <v>40451262.079999998</v>
      </c>
      <c r="D391" s="86">
        <f t="shared" si="114"/>
        <v>40451.079999996633</v>
      </c>
      <c r="E391" s="86">
        <f t="shared" si="114"/>
        <v>40410811</v>
      </c>
      <c r="F391" s="86">
        <f t="shared" si="114"/>
        <v>-6632398.2700000014</v>
      </c>
      <c r="G391" s="86">
        <f t="shared" si="114"/>
        <v>33778412.729999997</v>
      </c>
      <c r="H391" s="86"/>
      <c r="I391" s="152"/>
      <c r="J391" s="38"/>
    </row>
    <row r="392" spans="1:14" ht="14.1" customHeight="1">
      <c r="A392" s="374">
        <f t="shared" si="110"/>
        <v>376</v>
      </c>
      <c r="B392" s="170"/>
      <c r="C392" s="64"/>
      <c r="D392" s="156"/>
      <c r="E392" s="58"/>
      <c r="F392" s="156"/>
      <c r="G392" s="64"/>
      <c r="H392" s="64"/>
      <c r="I392" s="140"/>
      <c r="J392" s="38"/>
    </row>
    <row r="393" spans="1:14" ht="14.1" customHeight="1">
      <c r="A393" s="374">
        <f t="shared" si="110"/>
        <v>377</v>
      </c>
      <c r="B393" s="20" t="s">
        <v>249</v>
      </c>
      <c r="C393" s="16">
        <f t="shared" ref="C393:G393" si="115">C378+C391</f>
        <v>49431232.890000001</v>
      </c>
      <c r="D393" s="16">
        <f t="shared" si="115"/>
        <v>49429.889999996492</v>
      </c>
      <c r="E393" s="16">
        <f t="shared" si="115"/>
        <v>49381803</v>
      </c>
      <c r="F393" s="16">
        <f t="shared" si="115"/>
        <v>-6698454.9300000016</v>
      </c>
      <c r="G393" s="16">
        <f t="shared" si="115"/>
        <v>42683348.069999993</v>
      </c>
      <c r="H393" s="16"/>
      <c r="I393" s="17"/>
      <c r="J393" s="38"/>
    </row>
    <row r="394" spans="1:14" ht="14.1" customHeight="1">
      <c r="A394" s="374">
        <f t="shared" si="110"/>
        <v>378</v>
      </c>
      <c r="B394" s="134"/>
      <c r="C394" s="16">
        <f>C327+C363+C391+C435+C436-C362</f>
        <v>71857790.310000002</v>
      </c>
      <c r="D394" s="16">
        <f t="shared" ref="D394:G394" si="116">D327+D363+D391+D435+D436-D362</f>
        <v>499298.88561999734</v>
      </c>
      <c r="E394" s="16">
        <f t="shared" si="116"/>
        <v>71358491.424380004</v>
      </c>
      <c r="F394" s="16">
        <f>F327+F363+F391+F435+F436-F362</f>
        <v>-8473602.8600000013</v>
      </c>
      <c r="G394" s="16">
        <f t="shared" si="116"/>
        <v>62884888.56437999</v>
      </c>
      <c r="H394" s="16"/>
      <c r="I394" s="17"/>
      <c r="J394" s="38"/>
    </row>
    <row r="395" spans="1:14" ht="14.1" customHeight="1">
      <c r="A395" s="374">
        <f t="shared" si="110"/>
        <v>379</v>
      </c>
      <c r="B395" s="13" t="s">
        <v>250</v>
      </c>
      <c r="C395" s="43"/>
      <c r="D395" s="43"/>
      <c r="E395" s="43"/>
      <c r="F395" s="43"/>
      <c r="G395" s="10"/>
      <c r="H395" s="10"/>
      <c r="I395" s="15"/>
      <c r="J395" s="38"/>
    </row>
    <row r="396" spans="1:14" ht="14.1" customHeight="1">
      <c r="A396" s="374">
        <f t="shared" si="110"/>
        <v>380</v>
      </c>
      <c r="B396" s="22" t="s">
        <v>251</v>
      </c>
      <c r="C396" s="10">
        <v>202238.21</v>
      </c>
      <c r="D396" s="43">
        <f t="shared" ref="D396:D401" si="117">C396-E396</f>
        <v>2.2099999999918509</v>
      </c>
      <c r="E396" s="10">
        <f>ROUND(C396*'Allocation Factors'!$G$36,0)</f>
        <v>202236</v>
      </c>
      <c r="F396" s="10">
        <f>'Sch 5'!C382</f>
        <v>-6107.65</v>
      </c>
      <c r="G396" s="10">
        <f t="shared" ref="G396:G400" si="118">E396+F396</f>
        <v>196128.35</v>
      </c>
      <c r="H396" s="10"/>
      <c r="I396" s="15" t="s">
        <v>816</v>
      </c>
      <c r="J396" s="38"/>
    </row>
    <row r="397" spans="1:14" ht="14.1" customHeight="1">
      <c r="A397" s="374">
        <f t="shared" si="110"/>
        <v>381</v>
      </c>
      <c r="B397" s="22" t="s">
        <v>252</v>
      </c>
      <c r="C397" s="10">
        <f>-25232.95+339086.01+53640.52</f>
        <v>367493.58</v>
      </c>
      <c r="D397" s="43">
        <f t="shared" si="117"/>
        <v>4.5800000000162981</v>
      </c>
      <c r="E397" s="10">
        <f>ROUND(C397*'Allocation Factors'!$G$36,0)</f>
        <v>367489</v>
      </c>
      <c r="F397" s="10">
        <f>'Sch 5'!C383</f>
        <v>-7028.34</v>
      </c>
      <c r="G397" s="10">
        <f t="shared" si="118"/>
        <v>360460.66</v>
      </c>
      <c r="H397" s="10"/>
      <c r="I397" s="15" t="s">
        <v>816</v>
      </c>
      <c r="J397" s="65"/>
      <c r="K397" s="206"/>
    </row>
    <row r="398" spans="1:14" ht="14.1" customHeight="1">
      <c r="A398" s="374">
        <f t="shared" si="110"/>
        <v>382</v>
      </c>
      <c r="B398" s="22" t="s">
        <v>253</v>
      </c>
      <c r="C398" s="10">
        <f>345967.73+2573656.54+23513.11+692324.67+117924.68+76538.58+1038915.61+305140.93+182336.73</f>
        <v>5356318.58</v>
      </c>
      <c r="D398" s="43">
        <f t="shared" si="117"/>
        <v>63.580000000074506</v>
      </c>
      <c r="E398" s="10">
        <f>ROUND(C398*'Allocation Factors'!$G$36,0)</f>
        <v>5356255</v>
      </c>
      <c r="F398" s="10">
        <f>'Sch 5'!C384</f>
        <v>-22121.98</v>
      </c>
      <c r="G398" s="10">
        <f t="shared" si="118"/>
        <v>5334133.0199999996</v>
      </c>
      <c r="H398" s="10"/>
      <c r="I398" s="15" t="s">
        <v>816</v>
      </c>
      <c r="J398" s="65"/>
      <c r="K398" s="206"/>
    </row>
    <row r="399" spans="1:14" ht="14.1" customHeight="1">
      <c r="A399" s="374">
        <f t="shared" si="110"/>
        <v>383</v>
      </c>
      <c r="B399" s="22" t="s">
        <v>254</v>
      </c>
      <c r="C399" s="10">
        <v>0</v>
      </c>
      <c r="D399" s="43">
        <f t="shared" si="117"/>
        <v>0</v>
      </c>
      <c r="E399" s="10">
        <f>ROUND(C399*'Allocation Factors'!$G$36,0)</f>
        <v>0</v>
      </c>
      <c r="F399" s="10">
        <f>'Sch 5'!C385</f>
        <v>0</v>
      </c>
      <c r="G399" s="10">
        <f t="shared" si="118"/>
        <v>0</v>
      </c>
      <c r="H399" s="10"/>
      <c r="I399" s="15" t="s">
        <v>816</v>
      </c>
      <c r="J399" s="171"/>
      <c r="K399" s="206"/>
    </row>
    <row r="400" spans="1:14" s="21" customFormat="1" ht="14.1" customHeight="1">
      <c r="A400" s="374">
        <f t="shared" si="110"/>
        <v>384</v>
      </c>
      <c r="B400" s="22" t="s">
        <v>255</v>
      </c>
      <c r="C400" s="10">
        <v>-175139.53</v>
      </c>
      <c r="D400" s="43">
        <f t="shared" si="117"/>
        <v>-2.5299999999988358</v>
      </c>
      <c r="E400" s="10">
        <f>ROUND(C400*'Allocation Factors'!$G$36,0)</f>
        <v>-175137</v>
      </c>
      <c r="F400" s="10">
        <f>'Sch 5'!C386</f>
        <v>0</v>
      </c>
      <c r="G400" s="10">
        <f t="shared" si="118"/>
        <v>-175137</v>
      </c>
      <c r="H400" s="10"/>
      <c r="I400" s="15" t="s">
        <v>816</v>
      </c>
      <c r="J400" s="66"/>
      <c r="K400" s="207"/>
      <c r="L400" s="89"/>
      <c r="M400" s="89"/>
      <c r="N400" s="89"/>
    </row>
    <row r="401" spans="1:11" ht="14.1" customHeight="1">
      <c r="A401" s="374">
        <f t="shared" si="110"/>
        <v>385</v>
      </c>
      <c r="B401" s="56" t="s">
        <v>256</v>
      </c>
      <c r="C401" s="43">
        <v>16984.02</v>
      </c>
      <c r="D401" s="43">
        <f t="shared" si="117"/>
        <v>2.0000000000436557E-2</v>
      </c>
      <c r="E401" s="10">
        <f>ROUND(C401*'Allocation Factors'!$G$36,0)</f>
        <v>16984</v>
      </c>
      <c r="F401" s="10">
        <f>'Sch 5'!C387</f>
        <v>-60.97</v>
      </c>
      <c r="G401" s="10">
        <f>E401+F401</f>
        <v>16923.03</v>
      </c>
      <c r="H401" s="10"/>
      <c r="I401" s="15" t="s">
        <v>816</v>
      </c>
      <c r="J401" s="65"/>
      <c r="K401" s="208"/>
    </row>
    <row r="402" spans="1:11" ht="14.1" customHeight="1">
      <c r="A402" s="374">
        <f t="shared" si="110"/>
        <v>386</v>
      </c>
      <c r="B402" s="20" t="s">
        <v>512</v>
      </c>
      <c r="C402" s="86">
        <f t="shared" ref="C402:G402" si="119">SUM(C396:C401)</f>
        <v>5767894.8599999994</v>
      </c>
      <c r="D402" s="86">
        <f t="shared" si="119"/>
        <v>67.860000000084256</v>
      </c>
      <c r="E402" s="86">
        <f t="shared" si="119"/>
        <v>5767827</v>
      </c>
      <c r="F402" s="86">
        <f t="shared" si="119"/>
        <v>-35318.94</v>
      </c>
      <c r="G402" s="86">
        <f t="shared" si="119"/>
        <v>5732508.0599999996</v>
      </c>
      <c r="H402" s="86"/>
      <c r="I402" s="152"/>
      <c r="J402" s="38"/>
    </row>
    <row r="403" spans="1:11" ht="14.1" customHeight="1">
      <c r="A403" s="374">
        <f t="shared" si="110"/>
        <v>387</v>
      </c>
      <c r="B403" s="134"/>
      <c r="C403" s="16"/>
      <c r="D403" s="16"/>
      <c r="E403" s="135"/>
      <c r="F403" s="16"/>
      <c r="G403" s="43"/>
      <c r="H403" s="43"/>
      <c r="I403" s="15"/>
      <c r="J403" s="38"/>
    </row>
    <row r="404" spans="1:11" ht="14.1" customHeight="1">
      <c r="A404" s="374">
        <f t="shared" si="110"/>
        <v>388</v>
      </c>
      <c r="B404" s="13" t="s">
        <v>257</v>
      </c>
      <c r="C404" s="43"/>
      <c r="D404" s="43"/>
      <c r="E404" s="43"/>
      <c r="F404" s="43"/>
      <c r="G404" s="10"/>
      <c r="H404" s="10"/>
      <c r="I404" s="15"/>
      <c r="J404" s="38"/>
    </row>
    <row r="405" spans="1:11" ht="14.1" customHeight="1">
      <c r="A405" s="374">
        <f t="shared" si="110"/>
        <v>389</v>
      </c>
      <c r="B405" s="22" t="s">
        <v>258</v>
      </c>
      <c r="C405" s="10">
        <f>126171.24+57.45</f>
        <v>126228.69</v>
      </c>
      <c r="D405" s="43">
        <f>C405-E405</f>
        <v>1.6900000000023283</v>
      </c>
      <c r="E405" s="10">
        <f>ROUND(C405*'Allocation Factors'!$G$36,0)</f>
        <v>126227</v>
      </c>
      <c r="F405" s="10">
        <f>'Sch 5'!C391</f>
        <v>-1949.77</v>
      </c>
      <c r="G405" s="10">
        <f>E405+F405</f>
        <v>124277.23</v>
      </c>
      <c r="H405" s="10"/>
      <c r="I405" s="15" t="s">
        <v>816</v>
      </c>
      <c r="J405" s="38"/>
    </row>
    <row r="406" spans="1:11" ht="13.5" customHeight="1">
      <c r="A406" s="374">
        <f t="shared" si="110"/>
        <v>390</v>
      </c>
      <c r="B406" s="22" t="s">
        <v>259</v>
      </c>
      <c r="C406" s="10">
        <f>801877.84+-11.84+7444262.41</f>
        <v>8246128.4100000001</v>
      </c>
      <c r="D406" s="43">
        <f>C406-E406</f>
        <v>7.4100000001490116</v>
      </c>
      <c r="E406" s="10">
        <f>ROUND((J406)+(C406-J406)*'Allocation Factors'!$G$36,0)</f>
        <v>8246121</v>
      </c>
      <c r="F406" s="10">
        <f>'Sch 5'!C392</f>
        <v>-7628181.4299999997</v>
      </c>
      <c r="G406" s="10">
        <f>E406+F406</f>
        <v>617939.5700000003</v>
      </c>
      <c r="H406" s="10"/>
      <c r="I406" s="15" t="s">
        <v>816</v>
      </c>
      <c r="J406" s="10">
        <f>7060189+303011+246772</f>
        <v>7609972</v>
      </c>
      <c r="K406" s="89" t="s">
        <v>1026</v>
      </c>
    </row>
    <row r="407" spans="1:11" ht="14.1" customHeight="1">
      <c r="A407" s="374">
        <f t="shared" si="110"/>
        <v>391</v>
      </c>
      <c r="B407" s="22" t="s">
        <v>260</v>
      </c>
      <c r="C407" s="10">
        <v>43336.76</v>
      </c>
      <c r="D407" s="43">
        <f>C407-E407</f>
        <v>0.76000000000203727</v>
      </c>
      <c r="E407" s="10">
        <f>ROUND(C407*'Allocation Factors'!$G$36,0)</f>
        <v>43336</v>
      </c>
      <c r="F407" s="10">
        <f>'Sch 5'!C393</f>
        <v>-35784</v>
      </c>
      <c r="G407" s="10">
        <f>E407+F407</f>
        <v>7552</v>
      </c>
      <c r="H407" s="10"/>
      <c r="I407" s="15" t="s">
        <v>816</v>
      </c>
      <c r="J407" s="38"/>
    </row>
    <row r="408" spans="1:11" ht="14.1" customHeight="1">
      <c r="A408" s="374">
        <f t="shared" si="110"/>
        <v>392</v>
      </c>
      <c r="B408" s="56" t="s">
        <v>261</v>
      </c>
      <c r="C408" s="43">
        <f>152862.62+1523.14</f>
        <v>154385.76</v>
      </c>
      <c r="D408" s="43">
        <f>C408-E408</f>
        <v>1.7600000000093132</v>
      </c>
      <c r="E408" s="10">
        <f>ROUND(C408*'Allocation Factors'!$G$36,0)</f>
        <v>154384</v>
      </c>
      <c r="F408" s="10">
        <f>'Sch 5'!C394</f>
        <v>-4324.1399999999994</v>
      </c>
      <c r="G408" s="10">
        <f>E408+F408</f>
        <v>150059.85999999999</v>
      </c>
      <c r="H408" s="10"/>
      <c r="I408" s="15" t="s">
        <v>816</v>
      </c>
      <c r="J408" s="38"/>
    </row>
    <row r="409" spans="1:11" ht="14.1" customHeight="1">
      <c r="A409" s="374">
        <f t="shared" si="110"/>
        <v>393</v>
      </c>
      <c r="B409" s="20" t="s">
        <v>513</v>
      </c>
      <c r="C409" s="86">
        <f>SUM(C405:C408)</f>
        <v>8570079.620000001</v>
      </c>
      <c r="D409" s="86">
        <f>SUM(D404:D408)</f>
        <v>11.62000000016269</v>
      </c>
      <c r="E409" s="86">
        <f>SUM(E404:E408)</f>
        <v>8570068</v>
      </c>
      <c r="F409" s="86">
        <f>SUM(F404:F408)</f>
        <v>-7670239.3399999989</v>
      </c>
      <c r="G409" s="86">
        <f>SUM(G405:G408)</f>
        <v>899828.66000000027</v>
      </c>
      <c r="H409" s="86"/>
      <c r="I409" s="152"/>
      <c r="J409" s="38"/>
    </row>
    <row r="410" spans="1:11" ht="14.1" customHeight="1">
      <c r="A410" s="374">
        <f t="shared" si="110"/>
        <v>394</v>
      </c>
      <c r="B410" s="134"/>
      <c r="C410" s="16"/>
      <c r="D410" s="16"/>
      <c r="E410" s="135"/>
      <c r="F410" s="16"/>
      <c r="G410" s="43"/>
      <c r="H410" s="43"/>
      <c r="I410" s="15"/>
      <c r="J410" s="38"/>
    </row>
    <row r="411" spans="1:11" ht="14.1" customHeight="1">
      <c r="A411" s="374">
        <f t="shared" si="110"/>
        <v>395</v>
      </c>
      <c r="B411" s="13" t="s">
        <v>262</v>
      </c>
      <c r="C411" s="43"/>
      <c r="D411" s="43"/>
      <c r="E411" s="43"/>
      <c r="F411" s="43"/>
      <c r="G411" s="10"/>
      <c r="H411" s="10"/>
      <c r="I411" s="15"/>
      <c r="J411" s="38"/>
    </row>
    <row r="412" spans="1:11" ht="14.1" customHeight="1">
      <c r="A412" s="374">
        <f t="shared" si="110"/>
        <v>396</v>
      </c>
      <c r="B412" s="22" t="s">
        <v>263</v>
      </c>
      <c r="C412" s="10">
        <f>10.99+153.71</f>
        <v>164.70000000000002</v>
      </c>
      <c r="D412" s="43">
        <f>C412-E412</f>
        <v>1.9539568515938299E-3</v>
      </c>
      <c r="E412" s="43">
        <f>C412*'Allocation Factors'!$G$36</f>
        <v>164.69804604314842</v>
      </c>
      <c r="F412" s="10">
        <f>'Sch 5'!C398</f>
        <v>0</v>
      </c>
      <c r="G412" s="10">
        <f>E412+F412</f>
        <v>164.69804604314842</v>
      </c>
      <c r="H412" s="10"/>
      <c r="I412" s="15" t="s">
        <v>816</v>
      </c>
      <c r="J412" s="38"/>
    </row>
    <row r="413" spans="1:11" ht="14.1" customHeight="1">
      <c r="A413" s="374">
        <f t="shared" si="110"/>
        <v>397</v>
      </c>
      <c r="B413" s="22" t="s">
        <v>264</v>
      </c>
      <c r="C413" s="10">
        <f>59220.08+1348.22</f>
        <v>60568.3</v>
      </c>
      <c r="D413" s="43">
        <f>C413-E413</f>
        <v>0.71856614920397988</v>
      </c>
      <c r="E413" s="43">
        <f>C413*'Allocation Factors'!$G$36</f>
        <v>60567.581433850799</v>
      </c>
      <c r="F413" s="10">
        <f>'Sch 5'!C399</f>
        <v>-4300</v>
      </c>
      <c r="G413" s="10">
        <f>E413+F413</f>
        <v>56267.581433850799</v>
      </c>
      <c r="H413" s="10"/>
      <c r="I413" s="15" t="s">
        <v>816</v>
      </c>
      <c r="J413" s="38"/>
    </row>
    <row r="414" spans="1:11" ht="14.1" customHeight="1">
      <c r="A414" s="374">
        <f t="shared" si="110"/>
        <v>398</v>
      </c>
      <c r="B414" s="22" t="s">
        <v>265</v>
      </c>
      <c r="C414" s="10">
        <f>900+8901.67+25000</f>
        <v>34801.67</v>
      </c>
      <c r="D414" s="43">
        <f>C414-E414</f>
        <v>0.41287772643408971</v>
      </c>
      <c r="E414" s="43">
        <f>C414*'Allocation Factors'!$G$36</f>
        <v>34801.257122273564</v>
      </c>
      <c r="F414" s="10">
        <f>'Sch 5'!C400</f>
        <v>-25545.35</v>
      </c>
      <c r="G414" s="10">
        <f>E414+F414</f>
        <v>9255.9071222735656</v>
      </c>
      <c r="H414" s="10"/>
      <c r="I414" s="15" t="s">
        <v>816</v>
      </c>
      <c r="J414" s="38"/>
    </row>
    <row r="415" spans="1:11" ht="14.1" customHeight="1">
      <c r="A415" s="374">
        <f t="shared" si="110"/>
        <v>399</v>
      </c>
      <c r="B415" s="56" t="s">
        <v>266</v>
      </c>
      <c r="C415" s="43">
        <v>0</v>
      </c>
      <c r="D415" s="43">
        <f>C415-E415</f>
        <v>0</v>
      </c>
      <c r="E415" s="43">
        <f>C415*'Allocation Factors'!$G$36</f>
        <v>0</v>
      </c>
      <c r="F415" s="10">
        <f>'Sch 5'!C401</f>
        <v>0</v>
      </c>
      <c r="G415" s="10">
        <f>E415+F415</f>
        <v>0</v>
      </c>
      <c r="H415" s="10"/>
      <c r="I415" s="15" t="s">
        <v>816</v>
      </c>
      <c r="J415" s="38"/>
    </row>
    <row r="416" spans="1:11" ht="14.1" customHeight="1">
      <c r="A416" s="374">
        <f t="shared" si="110"/>
        <v>400</v>
      </c>
      <c r="B416" s="20" t="s">
        <v>514</v>
      </c>
      <c r="C416" s="86">
        <f t="shared" ref="C416:F416" si="120">SUM(C411:C415)</f>
        <v>95534.67</v>
      </c>
      <c r="D416" s="86">
        <f t="shared" si="120"/>
        <v>1.1333978324896634</v>
      </c>
      <c r="E416" s="86">
        <f t="shared" si="120"/>
        <v>95533.536602167515</v>
      </c>
      <c r="F416" s="86">
        <f t="shared" si="120"/>
        <v>-29845.35</v>
      </c>
      <c r="G416" s="86">
        <f>SUM(G412:G415)</f>
        <v>65688.186602167523</v>
      </c>
      <c r="H416" s="86"/>
      <c r="I416" s="152"/>
      <c r="J416" s="38"/>
    </row>
    <row r="417" spans="1:11" ht="14.1" customHeight="1">
      <c r="A417" s="374">
        <f t="shared" si="110"/>
        <v>401</v>
      </c>
      <c r="B417" s="134"/>
      <c r="C417" s="16"/>
      <c r="D417" s="16"/>
      <c r="E417" s="16"/>
      <c r="F417" s="16"/>
      <c r="G417" s="43"/>
      <c r="H417" s="43"/>
      <c r="I417" s="15"/>
      <c r="J417" s="38"/>
    </row>
    <row r="418" spans="1:11" ht="14.1" customHeight="1">
      <c r="A418" s="374">
        <f t="shared" si="110"/>
        <v>402</v>
      </c>
      <c r="B418" s="13" t="s">
        <v>267</v>
      </c>
      <c r="C418" s="43"/>
      <c r="D418" s="43"/>
      <c r="E418" s="260"/>
      <c r="F418" s="43"/>
      <c r="G418" s="10"/>
      <c r="H418" s="10"/>
      <c r="I418" s="15"/>
      <c r="J418" s="38"/>
    </row>
    <row r="419" spans="1:11" ht="14.1" customHeight="1">
      <c r="A419" s="374">
        <f t="shared" si="110"/>
        <v>403</v>
      </c>
      <c r="B419" s="22" t="s">
        <v>268</v>
      </c>
      <c r="C419" s="10">
        <v>9404008.9399999995</v>
      </c>
      <c r="D419" s="43">
        <f t="shared" ref="D419:D432" si="121">C419-E419</f>
        <v>131656.12515999936</v>
      </c>
      <c r="E419" s="43">
        <f>C419*'Allocation Factors'!$G$38</f>
        <v>9272352.8148400001</v>
      </c>
      <c r="F419" s="10">
        <f>'Sch 5'!C405</f>
        <v>-3195828.42</v>
      </c>
      <c r="G419" s="10">
        <f t="shared" ref="G419:G432" si="122">E419+F419</f>
        <v>6076524.3948400002</v>
      </c>
      <c r="H419" s="10"/>
      <c r="I419" s="15" t="s">
        <v>971</v>
      </c>
      <c r="J419" s="38"/>
    </row>
    <row r="420" spans="1:11" ht="14.1" customHeight="1">
      <c r="A420" s="374">
        <f t="shared" si="110"/>
        <v>404</v>
      </c>
      <c r="B420" s="22" t="s">
        <v>269</v>
      </c>
      <c r="C420" s="10">
        <f>709287.11+20.14+-0.48</f>
        <v>709306.77</v>
      </c>
      <c r="D420" s="43">
        <f t="shared" si="121"/>
        <v>9930.2947799999965</v>
      </c>
      <c r="E420" s="43">
        <f>C420*'Allocation Factors'!$G$38</f>
        <v>699376.47522000002</v>
      </c>
      <c r="F420" s="10">
        <f>'Sch 5'!C406</f>
        <v>1194.4100000000001</v>
      </c>
      <c r="G420" s="10">
        <f t="shared" si="122"/>
        <v>700570.88522000005</v>
      </c>
      <c r="H420" s="10"/>
      <c r="I420" s="15" t="s">
        <v>971</v>
      </c>
      <c r="J420" s="10">
        <v>0</v>
      </c>
      <c r="K420" s="89" t="s">
        <v>1027</v>
      </c>
    </row>
    <row r="421" spans="1:11" ht="14.1" customHeight="1">
      <c r="A421" s="374">
        <f t="shared" si="110"/>
        <v>405</v>
      </c>
      <c r="B421" s="22" t="s">
        <v>270</v>
      </c>
      <c r="C421" s="10">
        <f>-823547.03+-533702+-1221.26</f>
        <v>-1358470.29</v>
      </c>
      <c r="D421" s="43">
        <f t="shared" si="121"/>
        <v>-19018.584060000023</v>
      </c>
      <c r="E421" s="43">
        <f>C421*'Allocation Factors'!$G$38</f>
        <v>-1339451.70594</v>
      </c>
      <c r="F421" s="10">
        <f>'Sch 5'!C407</f>
        <v>15697</v>
      </c>
      <c r="G421" s="10">
        <f t="shared" si="122"/>
        <v>-1323754.70594</v>
      </c>
      <c r="H421" s="10"/>
      <c r="I421" s="15" t="s">
        <v>971</v>
      </c>
      <c r="J421" s="38"/>
    </row>
    <row r="422" spans="1:11" s="21" customFormat="1" ht="14.1" customHeight="1">
      <c r="A422" s="374">
        <f t="shared" si="110"/>
        <v>406</v>
      </c>
      <c r="B422" s="22" t="s">
        <v>271</v>
      </c>
      <c r="C422" s="10">
        <f>1853170.61+-558785.48</f>
        <v>1294385.1300000001</v>
      </c>
      <c r="D422" s="43">
        <f t="shared" si="121"/>
        <v>18121.391820000019</v>
      </c>
      <c r="E422" s="43">
        <f>C422*'Allocation Factors'!$G$38</f>
        <v>1276263.7381800001</v>
      </c>
      <c r="F422" s="10">
        <f>'Sch 5'!C408</f>
        <v>0</v>
      </c>
      <c r="G422" s="10">
        <f t="shared" si="122"/>
        <v>1276263.7381800001</v>
      </c>
      <c r="H422" s="10"/>
      <c r="I422" s="15" t="s">
        <v>971</v>
      </c>
      <c r="J422" s="38"/>
      <c r="K422" s="89"/>
    </row>
    <row r="423" spans="1:11" s="21" customFormat="1" ht="14.1" customHeight="1">
      <c r="A423" s="374">
        <f t="shared" si="110"/>
        <v>407</v>
      </c>
      <c r="B423" s="22" t="s">
        <v>272</v>
      </c>
      <c r="C423" s="10">
        <v>735807.36</v>
      </c>
      <c r="D423" s="43">
        <f t="shared" si="121"/>
        <v>10301.303040000028</v>
      </c>
      <c r="E423" s="43">
        <f>C423*'Allocation Factors'!$G$38</f>
        <v>725506.05695999996</v>
      </c>
      <c r="F423" s="10">
        <f>'Sch 5'!C409</f>
        <v>0</v>
      </c>
      <c r="G423" s="10">
        <f t="shared" si="122"/>
        <v>725506.05695999996</v>
      </c>
      <c r="H423" s="10"/>
      <c r="I423" s="15" t="s">
        <v>971</v>
      </c>
      <c r="J423" s="38"/>
    </row>
    <row r="424" spans="1:11" s="21" customFormat="1" ht="14.1" customHeight="1">
      <c r="A424" s="374">
        <f t="shared" si="110"/>
        <v>408</v>
      </c>
      <c r="B424" s="22" t="s">
        <v>273</v>
      </c>
      <c r="C424" s="10">
        <f>1396933.1+4318.25+6028.06+710230.46+241892.98+-231271.79</f>
        <v>2128131.06</v>
      </c>
      <c r="D424" s="43">
        <f t="shared" si="121"/>
        <v>29793.834840000141</v>
      </c>
      <c r="E424" s="43">
        <f>C424*'Allocation Factors'!$G$38</f>
        <v>2098337.2251599999</v>
      </c>
      <c r="F424" s="10">
        <f>'Sch 5'!C410</f>
        <v>-307.98</v>
      </c>
      <c r="G424" s="10">
        <f t="shared" si="122"/>
        <v>2098029.2451599999</v>
      </c>
      <c r="H424" s="10"/>
      <c r="I424" s="15" t="s">
        <v>971</v>
      </c>
      <c r="J424" s="38"/>
    </row>
    <row r="425" spans="1:11" s="21" customFormat="1" ht="14.1" customHeight="1">
      <c r="A425" s="374">
        <f t="shared" si="110"/>
        <v>409</v>
      </c>
      <c r="B425" s="22" t="s">
        <v>274</v>
      </c>
      <c r="C425" s="10">
        <v>3396603.74</v>
      </c>
      <c r="D425" s="43">
        <f t="shared" si="121"/>
        <v>47552.452359999996</v>
      </c>
      <c r="E425" s="43">
        <f>C425*'Allocation Factors'!$G$38</f>
        <v>3349051.2876400002</v>
      </c>
      <c r="F425" s="10">
        <f>'Sch 5'!C411</f>
        <v>532958.27</v>
      </c>
      <c r="G425" s="10">
        <f t="shared" si="122"/>
        <v>3882009.5576400002</v>
      </c>
      <c r="H425" s="10"/>
      <c r="I425" s="15" t="s">
        <v>971</v>
      </c>
      <c r="J425" s="38"/>
    </row>
    <row r="426" spans="1:11" ht="14.1" customHeight="1">
      <c r="A426" s="374">
        <f t="shared" si="110"/>
        <v>410</v>
      </c>
      <c r="B426" s="89" t="s">
        <v>275</v>
      </c>
      <c r="C426" s="10">
        <v>0</v>
      </c>
      <c r="D426" s="43">
        <f t="shared" si="121"/>
        <v>0</v>
      </c>
      <c r="E426" s="43">
        <f>C426*'Allocation Factors'!$G$38</f>
        <v>0</v>
      </c>
      <c r="F426" s="10">
        <f>'Sch 5'!C412</f>
        <v>0</v>
      </c>
      <c r="G426" s="10">
        <f t="shared" si="122"/>
        <v>0</v>
      </c>
      <c r="H426" s="10"/>
      <c r="I426" s="15" t="s">
        <v>971</v>
      </c>
      <c r="J426" s="38"/>
    </row>
    <row r="427" spans="1:11" ht="13.5" customHeight="1">
      <c r="A427" s="374">
        <f t="shared" si="110"/>
        <v>411</v>
      </c>
      <c r="B427" s="22" t="s">
        <v>276</v>
      </c>
      <c r="C427" s="10">
        <v>140985.44</v>
      </c>
      <c r="D427" s="43">
        <f t="shared" si="121"/>
        <v>1973.7961599999981</v>
      </c>
      <c r="E427" s="43">
        <f>C427*'Allocation Factors'!$G$38</f>
        <v>139011.64384</v>
      </c>
      <c r="F427" s="10">
        <f>'Sch 5'!C413</f>
        <v>0</v>
      </c>
      <c r="G427" s="10">
        <f t="shared" si="122"/>
        <v>139011.64384</v>
      </c>
      <c r="H427" s="10"/>
      <c r="I427" s="15" t="s">
        <v>971</v>
      </c>
      <c r="J427" s="38"/>
    </row>
    <row r="428" spans="1:11" ht="14.1" customHeight="1">
      <c r="A428" s="374">
        <f t="shared" si="110"/>
        <v>412</v>
      </c>
      <c r="B428" s="22" t="s">
        <v>277</v>
      </c>
      <c r="C428" s="10">
        <f>-57.9+169.7</f>
        <v>111.79999999999998</v>
      </c>
      <c r="D428" s="43">
        <f t="shared" si="121"/>
        <v>-0.20000000000001705</v>
      </c>
      <c r="E428" s="10">
        <f>ROUND(C428*'Allocation Factors'!$G$34,0)</f>
        <v>112</v>
      </c>
      <c r="F428" s="10">
        <f>'Sch 5'!C414</f>
        <v>0</v>
      </c>
      <c r="G428" s="10">
        <f t="shared" si="122"/>
        <v>112</v>
      </c>
      <c r="H428" s="10"/>
      <c r="I428" s="15" t="s">
        <v>362</v>
      </c>
      <c r="J428" s="38"/>
    </row>
    <row r="429" spans="1:11" ht="14.1" customHeight="1">
      <c r="A429" s="374">
        <f t="shared" si="110"/>
        <v>413</v>
      </c>
      <c r="B429" s="22" t="s">
        <v>323</v>
      </c>
      <c r="C429" s="10">
        <f>935509.67+16187.82</f>
        <v>951697.49</v>
      </c>
      <c r="D429" s="43">
        <f t="shared" si="121"/>
        <v>242.81729999999516</v>
      </c>
      <c r="E429" s="10">
        <f>(C429-J429)+(J429*'Allocation Factors'!$G$10)</f>
        <v>951454.6727</v>
      </c>
      <c r="F429" s="10">
        <f>'Sch 5'!C415</f>
        <v>374484.53</v>
      </c>
      <c r="G429" s="10">
        <f t="shared" si="122"/>
        <v>1325939.2027</v>
      </c>
      <c r="H429" s="10"/>
      <c r="I429" s="15" t="s">
        <v>888</v>
      </c>
      <c r="J429" s="38">
        <v>16187.82</v>
      </c>
      <c r="K429" s="89" t="s">
        <v>887</v>
      </c>
    </row>
    <row r="430" spans="1:11" ht="14.1" customHeight="1">
      <c r="A430" s="374">
        <f t="shared" si="110"/>
        <v>414</v>
      </c>
      <c r="B430" s="22" t="s">
        <v>278</v>
      </c>
      <c r="C430" s="10">
        <f>1721.46+33385.69+5252.99+2376.13+81748.28+18190.42</f>
        <v>142674.96999999997</v>
      </c>
      <c r="D430" s="43">
        <f t="shared" si="121"/>
        <v>1997.449580000015</v>
      </c>
      <c r="E430" s="43">
        <f>C430*'Allocation Factors'!$G$38</f>
        <v>140677.52041999996</v>
      </c>
      <c r="F430" s="10">
        <f>'Sch 5'!C416</f>
        <v>-31925</v>
      </c>
      <c r="G430" s="10">
        <f t="shared" si="122"/>
        <v>108752.52041999996</v>
      </c>
      <c r="H430" s="10"/>
      <c r="I430" s="15" t="s">
        <v>971</v>
      </c>
      <c r="J430" s="38"/>
    </row>
    <row r="431" spans="1:11" ht="14.1" customHeight="1">
      <c r="A431" s="374">
        <f t="shared" si="110"/>
        <v>415</v>
      </c>
      <c r="B431" s="22" t="s">
        <v>279</v>
      </c>
      <c r="C431" s="10">
        <f>250083.94+26641.23+870.86+19366.07+204164.48+-0.01</f>
        <v>501126.56999999995</v>
      </c>
      <c r="D431" s="43">
        <f t="shared" si="121"/>
        <v>7015.7719800000195</v>
      </c>
      <c r="E431" s="43">
        <f>C431*'Allocation Factors'!$G$38</f>
        <v>494110.79801999993</v>
      </c>
      <c r="F431" s="10">
        <f>'Sch 5'!C417</f>
        <v>-8288.01</v>
      </c>
      <c r="G431" s="10">
        <f t="shared" si="122"/>
        <v>485822.78801999992</v>
      </c>
      <c r="H431" s="10"/>
      <c r="I431" s="15" t="s">
        <v>971</v>
      </c>
      <c r="J431" s="38"/>
    </row>
    <row r="432" spans="1:11" ht="14.1" customHeight="1">
      <c r="A432" s="374">
        <f t="shared" si="110"/>
        <v>416</v>
      </c>
      <c r="B432" s="56" t="s">
        <v>280</v>
      </c>
      <c r="C432" s="43">
        <f>3.35+120345.32+233979.5</f>
        <v>354328.17000000004</v>
      </c>
      <c r="D432" s="43">
        <f t="shared" si="121"/>
        <v>4960.5943800000241</v>
      </c>
      <c r="E432" s="43">
        <f>C432*'Allocation Factors'!$G$38</f>
        <v>349367.57562000002</v>
      </c>
      <c r="F432" s="10">
        <f>'Sch 5'!C418</f>
        <v>5909.369999999999</v>
      </c>
      <c r="G432" s="10">
        <f t="shared" si="122"/>
        <v>355276.94562000001</v>
      </c>
      <c r="H432" s="10"/>
      <c r="I432" s="15" t="s">
        <v>971</v>
      </c>
      <c r="J432" s="38"/>
    </row>
    <row r="433" spans="1:14" ht="14.1" customHeight="1">
      <c r="A433" s="374">
        <f t="shared" si="110"/>
        <v>417</v>
      </c>
      <c r="B433" s="20" t="s">
        <v>515</v>
      </c>
      <c r="C433" s="86">
        <f t="shared" ref="C433:G433" si="123">SUM(C419:C432)</f>
        <v>18400697.149999999</v>
      </c>
      <c r="D433" s="86">
        <f t="shared" si="123"/>
        <v>244527.04733999955</v>
      </c>
      <c r="E433" s="86">
        <f t="shared" si="123"/>
        <v>18156170.10266</v>
      </c>
      <c r="F433" s="86">
        <f t="shared" si="123"/>
        <v>-2306105.8299999991</v>
      </c>
      <c r="G433" s="172">
        <f t="shared" si="123"/>
        <v>15850064.272660002</v>
      </c>
      <c r="H433" s="172"/>
      <c r="I433" s="173"/>
      <c r="J433" s="38"/>
    </row>
    <row r="434" spans="1:14" ht="14.1" customHeight="1">
      <c r="A434" s="374">
        <f t="shared" si="110"/>
        <v>418</v>
      </c>
      <c r="B434" s="22"/>
      <c r="C434" s="16"/>
      <c r="D434" s="16"/>
      <c r="E434" s="16"/>
      <c r="F434" s="16"/>
      <c r="G434" s="43"/>
      <c r="H434" s="43"/>
      <c r="I434" s="15"/>
      <c r="J434" s="38"/>
    </row>
    <row r="435" spans="1:14" ht="14.1" customHeight="1">
      <c r="A435" s="374">
        <f t="shared" si="110"/>
        <v>419</v>
      </c>
      <c r="B435" s="134" t="s">
        <v>281</v>
      </c>
      <c r="C435" s="43">
        <f>2723171.83-C436</f>
        <v>2005596.37</v>
      </c>
      <c r="D435" s="16">
        <f>C435-E435</f>
        <v>28078.349180000136</v>
      </c>
      <c r="E435" s="43">
        <f>C435*'Allocation Factors'!$G$38</f>
        <v>1977518.02082</v>
      </c>
      <c r="F435" s="10">
        <f>'Sch 5'!C421</f>
        <v>3419.369999999999</v>
      </c>
      <c r="G435" s="10">
        <f>E435+F435</f>
        <v>1980937.3908200001</v>
      </c>
      <c r="H435" s="10"/>
      <c r="I435" s="15" t="s">
        <v>971</v>
      </c>
      <c r="J435" s="38"/>
    </row>
    <row r="436" spans="1:14" ht="14.1" customHeight="1">
      <c r="A436" s="374">
        <f t="shared" si="110"/>
        <v>420</v>
      </c>
      <c r="B436" s="57" t="s">
        <v>282</v>
      </c>
      <c r="C436" s="43">
        <v>717575.46</v>
      </c>
      <c r="D436" s="16">
        <f>C436-E436</f>
        <v>10046.056439999957</v>
      </c>
      <c r="E436" s="43">
        <f>C436*'Allocation Factors'!$G$38</f>
        <v>707529.40356000001</v>
      </c>
      <c r="F436" s="10">
        <f>'Sch 5'!C422</f>
        <v>0</v>
      </c>
      <c r="G436" s="10">
        <f>E436+F436</f>
        <v>707529.40356000001</v>
      </c>
      <c r="H436" s="10"/>
      <c r="I436" s="15" t="s">
        <v>971</v>
      </c>
      <c r="J436" s="38"/>
    </row>
    <row r="437" spans="1:14" ht="14.1" customHeight="1">
      <c r="A437" s="374">
        <f t="shared" si="110"/>
        <v>421</v>
      </c>
      <c r="B437" s="20" t="s">
        <v>283</v>
      </c>
      <c r="C437" s="86">
        <f>C433+SUM(C435:C436)</f>
        <v>21123868.979999997</v>
      </c>
      <c r="D437" s="86">
        <f>D433+SUM(D435:D436)</f>
        <v>282651.45295999967</v>
      </c>
      <c r="E437" s="86">
        <f>E433+SUM(E435:E436)</f>
        <v>20841217.527040001</v>
      </c>
      <c r="F437" s="86">
        <f>F433+F435+F436</f>
        <v>-2302686.459999999</v>
      </c>
      <c r="G437" s="172">
        <f>G433+G435+G436</f>
        <v>18538531.067040004</v>
      </c>
      <c r="H437" s="172"/>
      <c r="I437" s="173"/>
      <c r="J437" s="38"/>
    </row>
    <row r="438" spans="1:14" ht="14.1" customHeight="1">
      <c r="A438" s="374">
        <f t="shared" si="110"/>
        <v>422</v>
      </c>
      <c r="B438" s="57"/>
      <c r="C438" s="156"/>
      <c r="D438" s="156"/>
      <c r="E438" s="58"/>
      <c r="F438" s="156"/>
      <c r="G438" s="64"/>
      <c r="H438" s="64"/>
      <c r="I438" s="140"/>
      <c r="J438" s="38"/>
    </row>
    <row r="439" spans="1:14" s="21" customFormat="1" ht="14.1" customHeight="1">
      <c r="A439" s="374">
        <f t="shared" ref="A439:A503" si="124">+A438+1</f>
        <v>423</v>
      </c>
      <c r="B439" s="20" t="s">
        <v>516</v>
      </c>
      <c r="C439" s="174">
        <f t="shared" ref="C439:G439" si="125">C437+C416+C409+C402+C393+C365+C338</f>
        <v>432664862.76199996</v>
      </c>
      <c r="D439" s="174">
        <f t="shared" si="125"/>
        <v>4908783.6983578447</v>
      </c>
      <c r="E439" s="174">
        <f>E437+E416+E409+E402+E393+E365+E338</f>
        <v>427756079.06364214</v>
      </c>
      <c r="F439" s="174">
        <f t="shared" si="125"/>
        <v>-31219422.619999997</v>
      </c>
      <c r="G439" s="174">
        <f t="shared" si="125"/>
        <v>396536656.44364214</v>
      </c>
      <c r="H439" s="97">
        <f>ROUND(E439/C439,3)</f>
        <v>0.98899999999999999</v>
      </c>
      <c r="I439" s="175"/>
      <c r="J439" s="38"/>
      <c r="K439" s="89"/>
      <c r="L439" s="89"/>
      <c r="M439" s="89"/>
      <c r="N439" s="89"/>
    </row>
    <row r="440" spans="1:14" s="21" customFormat="1" ht="14.1" customHeight="1">
      <c r="A440" s="374">
        <f t="shared" si="124"/>
        <v>424</v>
      </c>
      <c r="B440" s="134"/>
      <c r="C440" s="168"/>
      <c r="D440" s="168"/>
      <c r="E440" s="176"/>
      <c r="F440" s="168"/>
      <c r="G440" s="177"/>
      <c r="H440" s="177"/>
      <c r="I440" s="175"/>
      <c r="J440" s="38"/>
      <c r="K440" s="89"/>
      <c r="L440" s="89"/>
      <c r="M440" s="89"/>
      <c r="N440" s="89"/>
    </row>
    <row r="441" spans="1:14" s="21" customFormat="1" ht="14.1" customHeight="1">
      <c r="A441" s="374">
        <f t="shared" si="124"/>
        <v>425</v>
      </c>
      <c r="B441" s="91" t="s">
        <v>844</v>
      </c>
      <c r="C441" s="168">
        <f>(C439-(C308+C309+C310+C311+C332+C333))-(C343+C347+C348+C349+C362)</f>
        <v>141355646.06199995</v>
      </c>
      <c r="D441" s="168">
        <f>(D439-(D308+D309+D310+D311+D332+D333))-(D343+D347+D348+D349+D362)</f>
        <v>1147413.9983578315</v>
      </c>
      <c r="E441" s="168">
        <f>(E439-(E308+E309+E310+E311+E332+E333))-(E343+E347+E348+E349+E362)</f>
        <v>140208232.06364214</v>
      </c>
      <c r="F441" s="168">
        <f t="shared" ref="F441:G441" si="126">(F439-(F308+F332+F333))-(F343+F347+F348+F349+F362)</f>
        <v>-22269426.149999999</v>
      </c>
      <c r="G441" s="168">
        <f t="shared" si="126"/>
        <v>123456826.91364211</v>
      </c>
      <c r="H441" s="97">
        <f>ROUND(E441/C441,3)</f>
        <v>0.99199999999999999</v>
      </c>
      <c r="J441" s="38"/>
      <c r="K441" s="89"/>
      <c r="L441" s="89"/>
      <c r="M441" s="89"/>
      <c r="N441" s="89"/>
    </row>
    <row r="442" spans="1:14" s="21" customFormat="1" ht="14.1" customHeight="1">
      <c r="A442" s="374">
        <f t="shared" si="124"/>
        <v>426</v>
      </c>
      <c r="B442" s="134"/>
      <c r="C442" s="168"/>
      <c r="D442" s="168"/>
      <c r="E442" s="176"/>
      <c r="F442" s="168"/>
      <c r="G442" s="177"/>
      <c r="H442" s="177"/>
      <c r="I442" s="175"/>
      <c r="J442" s="38"/>
      <c r="K442" s="89"/>
      <c r="L442" s="89"/>
      <c r="M442" s="89"/>
      <c r="N442" s="89"/>
    </row>
    <row r="443" spans="1:14" s="21" customFormat="1" ht="14.1" customHeight="1">
      <c r="A443" s="374">
        <f t="shared" si="124"/>
        <v>427</v>
      </c>
      <c r="B443" s="20" t="s">
        <v>375</v>
      </c>
      <c r="C443" s="168"/>
      <c r="D443" s="168"/>
      <c r="E443" s="176"/>
      <c r="F443" s="168"/>
      <c r="G443" s="178"/>
      <c r="H443" s="178"/>
      <c r="I443" s="175"/>
      <c r="J443" s="38"/>
      <c r="K443" s="89"/>
      <c r="L443" s="89"/>
      <c r="M443" s="89"/>
      <c r="N443" s="89"/>
    </row>
    <row r="444" spans="1:14" s="21" customFormat="1" ht="14.1" customHeight="1">
      <c r="A444" s="374">
        <f t="shared" si="124"/>
        <v>428</v>
      </c>
      <c r="B444" s="22" t="s">
        <v>397</v>
      </c>
      <c r="C444" s="168">
        <f>C307+SUM(C312:C319)+C327+C334+C335</f>
        <v>48950440.842000008</v>
      </c>
      <c r="D444" s="168">
        <f>D307+SUM(D312:D319)+D327+D334+D335</f>
        <v>680303.84200000158</v>
      </c>
      <c r="E444" s="168">
        <f>E307+SUM(E312:E319)+E327+E334+E335</f>
        <v>48270137</v>
      </c>
      <c r="F444" s="168">
        <f>'Sch 5'!C428</f>
        <v>-15129077</v>
      </c>
      <c r="G444" s="178">
        <f>E444+F444</f>
        <v>33141060</v>
      </c>
      <c r="H444" s="178"/>
      <c r="I444" s="175"/>
      <c r="J444" s="38"/>
      <c r="K444" s="89"/>
      <c r="L444" s="89"/>
      <c r="M444" s="89"/>
      <c r="N444" s="89"/>
    </row>
    <row r="445" spans="1:14" s="21" customFormat="1" ht="14.1" customHeight="1">
      <c r="A445" s="374">
        <f t="shared" si="124"/>
        <v>429</v>
      </c>
      <c r="B445" s="22" t="s">
        <v>396</v>
      </c>
      <c r="C445" s="168">
        <f>C353+C363</f>
        <v>36995935.009999998</v>
      </c>
      <c r="D445" s="168">
        <f>D353+D363</f>
        <v>173031.00999999995</v>
      </c>
      <c r="E445" s="168">
        <f>E353+E363</f>
        <v>36822904</v>
      </c>
      <c r="F445" s="10">
        <f>'Sch 5'!C429</f>
        <v>646199.4</v>
      </c>
      <c r="G445" s="178">
        <f>E445+F445</f>
        <v>37469103.399999999</v>
      </c>
      <c r="H445" s="178"/>
      <c r="I445" s="175"/>
      <c r="J445" s="38"/>
      <c r="K445" s="89"/>
      <c r="L445" s="89"/>
      <c r="M445" s="89"/>
      <c r="N445" s="89"/>
    </row>
    <row r="446" spans="1:14" s="21" customFormat="1" ht="14.1" customHeight="1">
      <c r="A446" s="374">
        <f t="shared" si="124"/>
        <v>430</v>
      </c>
      <c r="B446" s="22" t="s">
        <v>249</v>
      </c>
      <c r="C446" s="168">
        <f>C393</f>
        <v>49431232.890000001</v>
      </c>
      <c r="D446" s="168">
        <f>D393</f>
        <v>49429.889999996492</v>
      </c>
      <c r="E446" s="168">
        <f>E393</f>
        <v>49381803</v>
      </c>
      <c r="F446" s="168">
        <f>'Sch 5'!C430</f>
        <v>-6698454.9299999997</v>
      </c>
      <c r="G446" s="178">
        <f>E446+F446</f>
        <v>42683348.07</v>
      </c>
      <c r="H446" s="178"/>
      <c r="I446" s="175"/>
      <c r="J446" s="38"/>
      <c r="K446" s="89"/>
      <c r="L446" s="89"/>
      <c r="M446" s="89"/>
      <c r="N446" s="89"/>
    </row>
    <row r="447" spans="1:14" s="21" customFormat="1" ht="14.1" customHeight="1">
      <c r="A447" s="374">
        <f t="shared" si="124"/>
        <v>431</v>
      </c>
      <c r="B447" s="22" t="s">
        <v>381</v>
      </c>
      <c r="C447" s="168">
        <f>C402+C409+C416</f>
        <v>14433509.15</v>
      </c>
      <c r="D447" s="168">
        <f>D402+D409+D416</f>
        <v>80.613397832736609</v>
      </c>
      <c r="E447" s="168">
        <f>E402+E409+E416</f>
        <v>14433428.536602167</v>
      </c>
      <c r="F447" s="168">
        <f>'Sch 5'!C431</f>
        <v>-7735403.6299999999</v>
      </c>
      <c r="G447" s="178">
        <f>E447+F447</f>
        <v>6698024.9066021675</v>
      </c>
      <c r="H447" s="178"/>
      <c r="I447" s="175"/>
      <c r="J447" s="38"/>
      <c r="K447" s="89"/>
      <c r="L447" s="89"/>
      <c r="M447" s="89"/>
      <c r="N447" s="89"/>
    </row>
    <row r="448" spans="1:14" s="21" customFormat="1" ht="14.1" customHeight="1">
      <c r="A448" s="374">
        <f t="shared" si="124"/>
        <v>432</v>
      </c>
      <c r="B448" s="56" t="s">
        <v>398</v>
      </c>
      <c r="C448" s="179">
        <f>C437</f>
        <v>21123868.979999997</v>
      </c>
      <c r="D448" s="179">
        <f>D437</f>
        <v>282651.45295999967</v>
      </c>
      <c r="E448" s="179">
        <f>E437</f>
        <v>20841217.527040001</v>
      </c>
      <c r="F448" s="168">
        <f>'Sch 5'!C432</f>
        <v>-2302686.46</v>
      </c>
      <c r="G448" s="178">
        <f>E448+F448</f>
        <v>18538531.06704</v>
      </c>
      <c r="H448" s="180"/>
      <c r="I448" s="181"/>
      <c r="J448" s="38"/>
      <c r="K448" s="89"/>
      <c r="L448" s="89"/>
      <c r="M448" s="89"/>
      <c r="N448" s="89"/>
    </row>
    <row r="449" spans="1:14" s="21" customFormat="1" ht="14.1" customHeight="1">
      <c r="A449" s="374">
        <f t="shared" si="124"/>
        <v>433</v>
      </c>
      <c r="B449" s="62" t="s">
        <v>517</v>
      </c>
      <c r="C449" s="182">
        <f>SUM(C444:C448)</f>
        <v>170934986.87199998</v>
      </c>
      <c r="D449" s="183">
        <f t="shared" ref="D449:G449" si="127">SUM(D444:D448)</f>
        <v>1185496.8083578306</v>
      </c>
      <c r="E449" s="182">
        <f t="shared" si="127"/>
        <v>169749490.06364217</v>
      </c>
      <c r="F449" s="182">
        <f t="shared" si="127"/>
        <v>-31219422.620000001</v>
      </c>
      <c r="G449" s="182">
        <f t="shared" si="127"/>
        <v>138530067.44364217</v>
      </c>
      <c r="H449" s="184"/>
      <c r="I449" s="185"/>
      <c r="J449" s="38"/>
      <c r="K449" s="89"/>
      <c r="L449" s="89"/>
      <c r="M449" s="89"/>
      <c r="N449" s="89"/>
    </row>
    <row r="450" spans="1:14" s="21" customFormat="1" ht="14.1" customHeight="1" thickBot="1">
      <c r="A450" s="374">
        <f t="shared" si="124"/>
        <v>434</v>
      </c>
      <c r="B450" s="59" t="s">
        <v>518</v>
      </c>
      <c r="C450" s="186">
        <f>C449*0.125</f>
        <v>21366873.358999997</v>
      </c>
      <c r="D450" s="141">
        <f t="shared" ref="D450:G450" si="128">D449*0.125</f>
        <v>148187.10104472883</v>
      </c>
      <c r="E450" s="186">
        <f t="shared" si="128"/>
        <v>21218686.257955272</v>
      </c>
      <c r="F450" s="186">
        <f t="shared" si="128"/>
        <v>-3902427.8275000001</v>
      </c>
      <c r="G450" s="186">
        <f t="shared" si="128"/>
        <v>17316258.430455271</v>
      </c>
      <c r="H450" s="187"/>
      <c r="I450" s="188"/>
      <c r="J450" s="38"/>
      <c r="K450" s="89"/>
      <c r="L450" s="89"/>
      <c r="M450" s="89"/>
      <c r="N450" s="89"/>
    </row>
    <row r="451" spans="1:14" s="21" customFormat="1" ht="14.1" customHeight="1" thickTop="1">
      <c r="A451" s="374">
        <f t="shared" si="124"/>
        <v>435</v>
      </c>
      <c r="B451" s="134"/>
      <c r="C451" s="168"/>
      <c r="D451" s="168"/>
      <c r="E451" s="176"/>
      <c r="F451" s="168"/>
      <c r="G451" s="178"/>
      <c r="H451" s="178"/>
      <c r="I451" s="175"/>
      <c r="J451" s="38"/>
      <c r="K451" s="89"/>
      <c r="L451" s="89"/>
      <c r="M451" s="89"/>
      <c r="N451" s="89"/>
    </row>
    <row r="452" spans="1:14" ht="14.1" customHeight="1">
      <c r="A452" s="374">
        <f t="shared" si="124"/>
        <v>436</v>
      </c>
      <c r="B452" s="13" t="s">
        <v>284</v>
      </c>
      <c r="C452" s="43"/>
      <c r="D452" s="43"/>
      <c r="E452" s="43"/>
      <c r="F452" s="43"/>
      <c r="G452" s="10"/>
      <c r="H452" s="10"/>
      <c r="I452" s="15"/>
      <c r="J452" s="38"/>
    </row>
    <row r="453" spans="1:14" ht="14.1" customHeight="1">
      <c r="A453" s="374">
        <f t="shared" si="124"/>
        <v>437</v>
      </c>
      <c r="B453" s="22" t="s">
        <v>136</v>
      </c>
      <c r="C453" s="10">
        <f>35064872.38+226283.42</f>
        <v>35291155.800000004</v>
      </c>
      <c r="D453" s="43">
        <f>C453-E453</f>
        <v>534585.80000000447</v>
      </c>
      <c r="E453" s="10">
        <f>ROUND(J453+(C453-J453)*'Allocation Factors'!$G$10,0)</f>
        <v>34756570</v>
      </c>
      <c r="F453" s="10">
        <f>'Sch 5'!C437</f>
        <v>-8105235.8200000003</v>
      </c>
      <c r="G453" s="10">
        <f>E453+F453</f>
        <v>26651334.18</v>
      </c>
      <c r="H453" s="10"/>
      <c r="I453" s="15" t="s">
        <v>341</v>
      </c>
      <c r="J453" s="38">
        <v>-347890</v>
      </c>
      <c r="K453" s="89" t="s">
        <v>918</v>
      </c>
    </row>
    <row r="454" spans="1:14" ht="14.1" customHeight="1">
      <c r="A454" s="374">
        <f t="shared" si="124"/>
        <v>438</v>
      </c>
      <c r="B454" s="22" t="s">
        <v>286</v>
      </c>
      <c r="C454" s="10">
        <f>15317707.13-C455</f>
        <v>15098501.930000002</v>
      </c>
      <c r="D454" s="43">
        <f>C454-E454</f>
        <v>226477.93000000156</v>
      </c>
      <c r="E454" s="43">
        <f>ROUND(C454*'Allocation Factors'!$G$16,0)</f>
        <v>14872024</v>
      </c>
      <c r="F454" s="10">
        <f>'Sch 5'!C438</f>
        <v>52403</v>
      </c>
      <c r="G454" s="10">
        <f>E454+F454</f>
        <v>14924427</v>
      </c>
      <c r="H454" s="10"/>
      <c r="I454" s="15" t="s">
        <v>346</v>
      </c>
      <c r="J454" s="38"/>
    </row>
    <row r="455" spans="1:14" ht="14.1" customHeight="1">
      <c r="A455" s="374">
        <f t="shared" si="124"/>
        <v>439</v>
      </c>
      <c r="B455" s="22" t="s">
        <v>287</v>
      </c>
      <c r="C455" s="10">
        <v>219205.19999999998</v>
      </c>
      <c r="D455" s="43">
        <f>C455-E455</f>
        <v>3288.1999999999825</v>
      </c>
      <c r="E455" s="43">
        <f>ROUND(C455*'Allocation Factors'!$G$10,0)</f>
        <v>215917</v>
      </c>
      <c r="F455" s="10">
        <f>'Sch 5'!C439</f>
        <v>0</v>
      </c>
      <c r="G455" s="10">
        <f>E455+F455</f>
        <v>215917</v>
      </c>
      <c r="H455" s="10"/>
      <c r="I455" s="15" t="s">
        <v>341</v>
      </c>
      <c r="J455" s="38"/>
    </row>
    <row r="456" spans="1:14" ht="14.1" customHeight="1">
      <c r="A456" s="374">
        <f t="shared" si="124"/>
        <v>440</v>
      </c>
      <c r="B456" s="22" t="s">
        <v>138</v>
      </c>
      <c r="C456" s="43">
        <v>27108367.960000001</v>
      </c>
      <c r="D456" s="43">
        <f>C456-E456</f>
        <v>27107.960000000894</v>
      </c>
      <c r="E456" s="43">
        <f>ROUND(C456*'Allocation Factors'!$G$18,0)</f>
        <v>27081260</v>
      </c>
      <c r="F456" s="43">
        <f>'Sch 5'!C440</f>
        <v>513467</v>
      </c>
      <c r="G456" s="43">
        <f>E456+F456</f>
        <v>27594727</v>
      </c>
      <c r="H456" s="43"/>
      <c r="I456" s="15" t="s">
        <v>348</v>
      </c>
      <c r="J456" s="38"/>
    </row>
    <row r="457" spans="1:14" s="21" customFormat="1" ht="14.1" customHeight="1">
      <c r="A457" s="374">
        <f t="shared" si="124"/>
        <v>441</v>
      </c>
      <c r="B457" s="56" t="s">
        <v>139</v>
      </c>
      <c r="C457" s="64">
        <v>1724993.53</v>
      </c>
      <c r="D457" s="64">
        <f>C457-E457</f>
        <v>25874.530000000028</v>
      </c>
      <c r="E457" s="156">
        <f>ROUND(C457*'Allocation Factors'!$G$22,0)</f>
        <v>1699119</v>
      </c>
      <c r="F457" s="64">
        <f>'Sch 5'!C441</f>
        <v>81279</v>
      </c>
      <c r="G457" s="64">
        <f>E457+F457</f>
        <v>1780398</v>
      </c>
      <c r="H457" s="64"/>
      <c r="I457" s="140" t="s">
        <v>352</v>
      </c>
      <c r="J457" s="38"/>
      <c r="K457" s="89"/>
      <c r="L457" s="89"/>
      <c r="M457" s="89"/>
      <c r="N457" s="89"/>
    </row>
    <row r="458" spans="1:14" ht="14.1" customHeight="1">
      <c r="A458" s="374">
        <f t="shared" si="124"/>
        <v>442</v>
      </c>
      <c r="B458" s="20" t="s">
        <v>519</v>
      </c>
      <c r="C458" s="16">
        <f>SUM(C453:C457)</f>
        <v>79442224.420000017</v>
      </c>
      <c r="D458" s="16">
        <f t="shared" ref="D458:G458" si="129">SUM(D453:D457)</f>
        <v>817334.42000000691</v>
      </c>
      <c r="E458" s="16">
        <f t="shared" si="129"/>
        <v>78624890</v>
      </c>
      <c r="F458" s="16">
        <f t="shared" si="129"/>
        <v>-7458086.8200000003</v>
      </c>
      <c r="G458" s="16">
        <f t="shared" si="129"/>
        <v>71166803.180000007</v>
      </c>
      <c r="H458" s="16"/>
      <c r="I458" s="17"/>
      <c r="J458" s="38"/>
    </row>
    <row r="459" spans="1:14" ht="14.1" customHeight="1">
      <c r="A459" s="374">
        <f t="shared" si="124"/>
        <v>443</v>
      </c>
      <c r="C459" s="43"/>
      <c r="D459" s="43"/>
      <c r="E459" s="43"/>
      <c r="F459" s="43"/>
      <c r="G459" s="43"/>
      <c r="H459" s="43"/>
      <c r="I459" s="15"/>
      <c r="J459" s="38"/>
    </row>
    <row r="460" spans="1:14" ht="14.1" customHeight="1">
      <c r="A460" s="374">
        <f t="shared" si="124"/>
        <v>444</v>
      </c>
      <c r="B460" s="13" t="s">
        <v>288</v>
      </c>
      <c r="C460" s="43"/>
      <c r="D460" s="43"/>
      <c r="E460" s="43"/>
      <c r="F460" s="43"/>
      <c r="G460" s="10"/>
      <c r="H460" s="10"/>
      <c r="I460" s="15"/>
      <c r="J460" s="38"/>
    </row>
    <row r="461" spans="1:14" ht="14.1" customHeight="1">
      <c r="A461" s="374">
        <f t="shared" si="124"/>
        <v>445</v>
      </c>
      <c r="B461" s="22" t="s">
        <v>289</v>
      </c>
      <c r="C461" s="10">
        <v>3236897.58</v>
      </c>
      <c r="D461" s="43">
        <f>C461-E461</f>
        <v>48553.580000000075</v>
      </c>
      <c r="E461" s="16">
        <f>ROUND(C461*'Allocation Factors'!$G$22,0)</f>
        <v>3188344</v>
      </c>
      <c r="F461" s="10">
        <f>'Sch 5'!C445</f>
        <v>0</v>
      </c>
      <c r="G461" s="10">
        <f>E461+F461</f>
        <v>3188344</v>
      </c>
      <c r="H461" s="10"/>
      <c r="I461" s="15" t="s">
        <v>352</v>
      </c>
      <c r="J461" s="38"/>
    </row>
    <row r="462" spans="1:14" ht="14.1" customHeight="1">
      <c r="A462" s="374">
        <f t="shared" si="124"/>
        <v>446</v>
      </c>
      <c r="B462" s="22" t="s">
        <v>149</v>
      </c>
      <c r="C462" s="43">
        <v>0</v>
      </c>
      <c r="D462" s="43">
        <f>C462-E462</f>
        <v>0</v>
      </c>
      <c r="E462" s="43">
        <f>ROUND(C462*'Allocation Factors'!$G$10,0)</f>
        <v>0</v>
      </c>
      <c r="F462" s="10">
        <f>'Sch 5'!C446</f>
        <v>0</v>
      </c>
      <c r="G462" s="10">
        <f>E462+F462</f>
        <v>0</v>
      </c>
      <c r="H462" s="10"/>
      <c r="I462" s="15" t="s">
        <v>341</v>
      </c>
      <c r="J462" s="38"/>
    </row>
    <row r="463" spans="1:14" ht="14.1" customHeight="1">
      <c r="A463" s="374">
        <f t="shared" si="124"/>
        <v>447</v>
      </c>
      <c r="B463" s="22" t="s">
        <v>137</v>
      </c>
      <c r="C463" s="43">
        <v>38616</v>
      </c>
      <c r="D463" s="43">
        <f>C463-E463</f>
        <v>579</v>
      </c>
      <c r="E463" s="43">
        <f>ROUND(C463*'Allocation Factors'!$G$16,0)</f>
        <v>38037</v>
      </c>
      <c r="F463" s="10">
        <f>'Sch 5'!C447</f>
        <v>0</v>
      </c>
      <c r="G463" s="10">
        <f>E463+F463</f>
        <v>38037</v>
      </c>
      <c r="H463" s="10"/>
      <c r="I463" s="15" t="s">
        <v>346</v>
      </c>
      <c r="J463" s="38"/>
    </row>
    <row r="464" spans="1:14" ht="14.1" customHeight="1">
      <c r="A464" s="374">
        <f t="shared" si="124"/>
        <v>448</v>
      </c>
      <c r="B464" s="22" t="s">
        <v>150</v>
      </c>
      <c r="C464" s="43">
        <v>0</v>
      </c>
      <c r="D464" s="43">
        <f>C464-E464</f>
        <v>0</v>
      </c>
      <c r="E464" s="43">
        <f>ROUND(C464*'Allocation Factors'!$G$18,0)</f>
        <v>0</v>
      </c>
      <c r="F464" s="10">
        <f>'Sch 5'!C448</f>
        <v>0</v>
      </c>
      <c r="G464" s="10">
        <f>E464+F464</f>
        <v>0</v>
      </c>
      <c r="H464" s="10"/>
      <c r="I464" s="15" t="s">
        <v>348</v>
      </c>
      <c r="J464" s="38"/>
    </row>
    <row r="465" spans="1:11" ht="14.1" customHeight="1">
      <c r="A465" s="374">
        <f t="shared" si="124"/>
        <v>449</v>
      </c>
      <c r="B465" s="56" t="s">
        <v>151</v>
      </c>
      <c r="C465" s="64">
        <v>108996.59</v>
      </c>
      <c r="D465" s="64">
        <f>C465-E465</f>
        <v>1634.5899999999965</v>
      </c>
      <c r="E465" s="156">
        <f>ROUND(C465*'Allocation Factors'!$G$22,0)</f>
        <v>107362</v>
      </c>
      <c r="F465" s="64">
        <f>'Sch 5'!C449</f>
        <v>0</v>
      </c>
      <c r="G465" s="64">
        <f>E465+F465</f>
        <v>107362</v>
      </c>
      <c r="H465" s="64"/>
      <c r="I465" s="140" t="s">
        <v>352</v>
      </c>
      <c r="J465" s="38"/>
    </row>
    <row r="466" spans="1:11" ht="14.1" customHeight="1">
      <c r="A466" s="374">
        <f t="shared" si="124"/>
        <v>450</v>
      </c>
      <c r="B466" s="20" t="s">
        <v>520</v>
      </c>
      <c r="C466" s="16">
        <f>SUM(C461:C465)</f>
        <v>3384510.17</v>
      </c>
      <c r="D466" s="16">
        <f t="shared" ref="D466:G466" si="130">SUM(D461:D465)</f>
        <v>50767.170000000071</v>
      </c>
      <c r="E466" s="16">
        <f t="shared" si="130"/>
        <v>3333743</v>
      </c>
      <c r="F466" s="16">
        <f t="shared" si="130"/>
        <v>0</v>
      </c>
      <c r="G466" s="16">
        <f t="shared" si="130"/>
        <v>3333743</v>
      </c>
      <c r="H466" s="16"/>
      <c r="I466" s="17"/>
      <c r="J466" s="38"/>
    </row>
    <row r="467" spans="1:11" ht="14.1" customHeight="1">
      <c r="A467" s="374">
        <f t="shared" si="124"/>
        <v>451</v>
      </c>
      <c r="B467" s="169"/>
      <c r="C467" s="16"/>
      <c r="D467" s="16"/>
      <c r="E467" s="135"/>
      <c r="F467" s="16"/>
      <c r="G467" s="43"/>
      <c r="H467" s="43"/>
      <c r="I467" s="15"/>
      <c r="J467" s="38"/>
    </row>
    <row r="468" spans="1:11" ht="14.1" customHeight="1">
      <c r="A468" s="374">
        <f t="shared" si="124"/>
        <v>452</v>
      </c>
      <c r="B468" s="20" t="s">
        <v>290</v>
      </c>
      <c r="C468" s="16"/>
      <c r="D468" s="65"/>
      <c r="E468" s="16"/>
      <c r="F468" s="16"/>
      <c r="G468" s="10"/>
      <c r="H468" s="10"/>
      <c r="I468" s="15"/>
      <c r="J468" s="38"/>
    </row>
    <row r="469" spans="1:11" ht="14.1" customHeight="1">
      <c r="A469" s="374">
        <f t="shared" si="124"/>
        <v>453</v>
      </c>
      <c r="B469" s="57" t="s">
        <v>324</v>
      </c>
      <c r="C469" s="43">
        <f>137242.44+2114063.6</f>
        <v>2251306.04</v>
      </c>
      <c r="D469" s="43">
        <f>C469-E469</f>
        <v>3958.0400000000373</v>
      </c>
      <c r="E469" s="10">
        <f>ROUND((J469)+(C469-J469)*'Allocation Factors'!$G$16,0)</f>
        <v>2247348</v>
      </c>
      <c r="F469" s="10">
        <f>'Sch 5'!C453</f>
        <v>-1987451</v>
      </c>
      <c r="G469" s="10">
        <f>E469+F469</f>
        <v>259897</v>
      </c>
      <c r="H469" s="10"/>
      <c r="I469" s="15" t="s">
        <v>346</v>
      </c>
      <c r="J469" s="38">
        <v>1987451</v>
      </c>
      <c r="K469" s="89" t="s">
        <v>916</v>
      </c>
    </row>
    <row r="470" spans="1:11" ht="14.1" customHeight="1">
      <c r="A470" s="374">
        <f t="shared" si="124"/>
        <v>454</v>
      </c>
      <c r="B470" s="20" t="s">
        <v>521</v>
      </c>
      <c r="C470" s="47">
        <f>SUM(C469:C469)</f>
        <v>2251306.04</v>
      </c>
      <c r="D470" s="47">
        <f t="shared" ref="D470:G470" si="131">SUM(D469:D469)</f>
        <v>3958.0400000000373</v>
      </c>
      <c r="E470" s="47">
        <f t="shared" si="131"/>
        <v>2247348</v>
      </c>
      <c r="F470" s="47">
        <f t="shared" si="131"/>
        <v>-1987451</v>
      </c>
      <c r="G470" s="47">
        <f t="shared" si="131"/>
        <v>259897</v>
      </c>
      <c r="H470" s="47"/>
      <c r="I470" s="151"/>
      <c r="J470" s="38"/>
    </row>
    <row r="471" spans="1:11" ht="14.1" customHeight="1">
      <c r="A471" s="374">
        <f t="shared" si="124"/>
        <v>455</v>
      </c>
      <c r="B471" s="57"/>
      <c r="C471" s="64"/>
      <c r="D471" s="64"/>
      <c r="E471" s="58"/>
      <c r="F471" s="156"/>
      <c r="G471" s="64"/>
      <c r="H471" s="64"/>
      <c r="I471" s="140"/>
      <c r="J471" s="38"/>
    </row>
    <row r="472" spans="1:11" ht="14.1" customHeight="1" thickBot="1">
      <c r="A472" s="374">
        <f t="shared" si="124"/>
        <v>456</v>
      </c>
      <c r="B472" s="59" t="s">
        <v>522</v>
      </c>
      <c r="C472" s="143">
        <f>C458+C466+C470</f>
        <v>85078040.630000025</v>
      </c>
      <c r="D472" s="143">
        <f t="shared" ref="D472:G472" si="132">D458+D466+D470</f>
        <v>872059.63000000699</v>
      </c>
      <c r="E472" s="143">
        <f>E458+E466+E470</f>
        <v>84205981</v>
      </c>
      <c r="F472" s="143">
        <f>F458+F466+F470</f>
        <v>-9445537.8200000003</v>
      </c>
      <c r="G472" s="143">
        <f t="shared" si="132"/>
        <v>74760443.180000007</v>
      </c>
      <c r="H472" s="143"/>
      <c r="I472" s="163"/>
      <c r="J472" s="38"/>
    </row>
    <row r="473" spans="1:11" ht="14.1" customHeight="1" thickTop="1">
      <c r="A473" s="374">
        <f t="shared" si="124"/>
        <v>457</v>
      </c>
      <c r="B473" s="134"/>
      <c r="C473" s="16"/>
      <c r="D473" s="16"/>
      <c r="E473" s="16"/>
      <c r="F473" s="16"/>
      <c r="G473" s="19"/>
      <c r="H473" s="19"/>
      <c r="I473" s="17"/>
      <c r="J473" s="38"/>
    </row>
    <row r="474" spans="1:11" ht="14.1" customHeight="1">
      <c r="A474" s="374">
        <f t="shared" si="124"/>
        <v>458</v>
      </c>
      <c r="B474" s="20" t="s">
        <v>291</v>
      </c>
      <c r="C474" s="43"/>
      <c r="D474" s="16"/>
      <c r="E474" s="48"/>
      <c r="F474" s="43"/>
      <c r="G474" s="10"/>
      <c r="H474" s="10"/>
      <c r="I474" s="15"/>
      <c r="J474" s="38"/>
    </row>
    <row r="475" spans="1:11" ht="14.1" customHeight="1">
      <c r="A475" s="374">
        <f t="shared" si="124"/>
        <v>459</v>
      </c>
      <c r="B475" s="13" t="s">
        <v>292</v>
      </c>
      <c r="C475" s="43"/>
      <c r="D475" s="16"/>
      <c r="E475" s="43"/>
      <c r="F475" s="43"/>
      <c r="G475" s="10"/>
      <c r="H475" s="10"/>
      <c r="I475" s="15"/>
      <c r="J475" s="38"/>
    </row>
    <row r="476" spans="1:11" ht="14.1" customHeight="1">
      <c r="A476" s="374">
        <f t="shared" si="124"/>
        <v>460</v>
      </c>
      <c r="B476" s="22" t="s">
        <v>293</v>
      </c>
      <c r="C476" s="43">
        <f>3115922.89+-1136146.66</f>
        <v>1979776.2300000002</v>
      </c>
      <c r="D476" s="43">
        <f>C476-E476</f>
        <v>15838.230000000214</v>
      </c>
      <c r="E476" s="43">
        <f>ROUND(C476*'Allocation Factors'!$G$30,0)</f>
        <v>1963938</v>
      </c>
      <c r="F476" s="10">
        <f>'Sch 5'!C460</f>
        <v>-31025</v>
      </c>
      <c r="G476" s="10">
        <f>E476+F476</f>
        <v>1932913</v>
      </c>
      <c r="H476" s="10"/>
      <c r="I476" s="15" t="s">
        <v>370</v>
      </c>
      <c r="J476" s="38"/>
    </row>
    <row r="477" spans="1:11" ht="14.1" customHeight="1">
      <c r="A477" s="374">
        <f t="shared" si="124"/>
        <v>461</v>
      </c>
      <c r="B477" s="22" t="s">
        <v>294</v>
      </c>
      <c r="C477" s="43">
        <f>19368.94+-7931.7</f>
        <v>11437.239999999998</v>
      </c>
      <c r="D477" s="43">
        <f>C477-E477</f>
        <v>91.239999999997963</v>
      </c>
      <c r="E477" s="43">
        <f>ROUND(C477*'Allocation Factors'!$G$30,0)</f>
        <v>11346</v>
      </c>
      <c r="F477" s="10">
        <f>'Sch 5'!C461</f>
        <v>0</v>
      </c>
      <c r="G477" s="10">
        <f>E477+F477</f>
        <v>11346</v>
      </c>
      <c r="H477" s="10"/>
      <c r="I477" s="15" t="s">
        <v>370</v>
      </c>
      <c r="J477" s="38"/>
    </row>
    <row r="478" spans="1:11" ht="14.1" customHeight="1">
      <c r="A478" s="374">
        <f t="shared" si="124"/>
        <v>462</v>
      </c>
      <c r="B478" s="56" t="s">
        <v>295</v>
      </c>
      <c r="C478" s="43">
        <f>47330.09+-23097.71</f>
        <v>24232.379999999997</v>
      </c>
      <c r="D478" s="43">
        <f>C478-E478</f>
        <v>193.37999999999738</v>
      </c>
      <c r="E478" s="43">
        <f>ROUND(((C478-J478)*'Allocation Factors'!$G$30),0)</f>
        <v>24039</v>
      </c>
      <c r="F478" s="10">
        <f>'Sch 5'!C462</f>
        <v>0</v>
      </c>
      <c r="G478" s="10">
        <f>E478+F478</f>
        <v>24039</v>
      </c>
      <c r="H478" s="10"/>
      <c r="I478" s="15" t="s">
        <v>402</v>
      </c>
      <c r="J478" s="38"/>
    </row>
    <row r="479" spans="1:11" ht="14.1" customHeight="1">
      <c r="A479" s="374">
        <f t="shared" si="124"/>
        <v>463</v>
      </c>
      <c r="B479" s="20" t="s">
        <v>523</v>
      </c>
      <c r="C479" s="86">
        <f>SUM(C476:C478)</f>
        <v>2015445.85</v>
      </c>
      <c r="D479" s="86">
        <f>SUM(D474:D478)</f>
        <v>16122.85000000021</v>
      </c>
      <c r="E479" s="86">
        <f>SUM(E475:E478)</f>
        <v>1999323</v>
      </c>
      <c r="F479" s="86">
        <f>SUM(F475:F478)</f>
        <v>-31025</v>
      </c>
      <c r="G479" s="86">
        <f>SUM(G476:G478)</f>
        <v>1968298</v>
      </c>
      <c r="H479" s="86"/>
      <c r="I479" s="152"/>
      <c r="J479" s="38"/>
    </row>
    <row r="480" spans="1:11" ht="14.1" customHeight="1">
      <c r="A480" s="374">
        <f t="shared" si="124"/>
        <v>464</v>
      </c>
      <c r="B480" s="134"/>
      <c r="C480" s="16"/>
      <c r="D480" s="16"/>
      <c r="E480" s="16"/>
      <c r="F480" s="16"/>
      <c r="G480" s="43"/>
      <c r="H480" s="43"/>
      <c r="I480" s="15"/>
      <c r="J480" s="38"/>
    </row>
    <row r="481" spans="1:11" ht="14.1" customHeight="1">
      <c r="A481" s="374">
        <f t="shared" si="124"/>
        <v>465</v>
      </c>
      <c r="B481" s="22" t="s">
        <v>296</v>
      </c>
      <c r="C481" s="43">
        <f>1121.95+566771.66+11204479.79+1992376</f>
        <v>13764749.399999999</v>
      </c>
      <c r="D481" s="43">
        <f t="shared" ref="D481:D490" si="133">C481-E481</f>
        <v>-70067.60000000149</v>
      </c>
      <c r="E481" s="43">
        <f>ROUND((C481-J481)*'Allocation Factors'!$G$24,0)</f>
        <v>13834817</v>
      </c>
      <c r="F481" s="10">
        <f>'Sch 5'!C465</f>
        <v>744411.24</v>
      </c>
      <c r="G481" s="10">
        <f>E481+F481</f>
        <v>14579228.24</v>
      </c>
      <c r="H481" s="10"/>
      <c r="I481" s="15" t="s">
        <v>354</v>
      </c>
      <c r="J481" s="38">
        <f>60539-341289</f>
        <v>-280750</v>
      </c>
      <c r="K481" s="89" t="s">
        <v>917</v>
      </c>
    </row>
    <row r="482" spans="1:11" ht="14.1" customHeight="1">
      <c r="A482" s="374">
        <f t="shared" si="124"/>
        <v>466</v>
      </c>
      <c r="B482" s="22" t="s">
        <v>325</v>
      </c>
      <c r="C482" s="43">
        <f>500+245</f>
        <v>745</v>
      </c>
      <c r="D482" s="43">
        <f t="shared" si="133"/>
        <v>11</v>
      </c>
      <c r="E482" s="43">
        <f>ROUND(C482*'Allocation Factors'!$G$24,0)</f>
        <v>734</v>
      </c>
      <c r="F482" s="10">
        <f>'Sch 5'!C466</f>
        <v>0</v>
      </c>
      <c r="G482" s="10">
        <f t="shared" ref="G482:G490" si="134">E482+F482</f>
        <v>734</v>
      </c>
      <c r="H482" s="10"/>
      <c r="I482" s="15" t="s">
        <v>354</v>
      </c>
      <c r="J482" s="38"/>
    </row>
    <row r="483" spans="1:11" ht="14.1" customHeight="1">
      <c r="A483" s="374">
        <f t="shared" si="124"/>
        <v>467</v>
      </c>
      <c r="B483" s="22" t="s">
        <v>326</v>
      </c>
      <c r="C483" s="43">
        <f>377401.04+751199.52</f>
        <v>1128600.56</v>
      </c>
      <c r="D483" s="43">
        <f t="shared" si="133"/>
        <v>-0.43999999994412065</v>
      </c>
      <c r="E483" s="43">
        <f>ROUND(C483*'Allocation Factors'!$G$34,0)</f>
        <v>1128601</v>
      </c>
      <c r="F483" s="10">
        <f>'Sch 5'!C467</f>
        <v>-1801</v>
      </c>
      <c r="G483" s="10">
        <f t="shared" si="134"/>
        <v>1126800</v>
      </c>
      <c r="H483" s="10"/>
      <c r="I483" s="15" t="s">
        <v>362</v>
      </c>
      <c r="J483" s="38"/>
    </row>
    <row r="484" spans="1:11" ht="14.1" customHeight="1">
      <c r="A484" s="374">
        <f t="shared" si="124"/>
        <v>468</v>
      </c>
      <c r="B484" s="22" t="s">
        <v>298</v>
      </c>
      <c r="C484" s="43">
        <f>10041.38+1608.31</f>
        <v>11649.689999999999</v>
      </c>
      <c r="D484" s="43">
        <f t="shared" si="133"/>
        <v>81.68999999999869</v>
      </c>
      <c r="E484" s="43">
        <f>ROUND(C484*'Allocation Factors'!$G$20,0)</f>
        <v>11568</v>
      </c>
      <c r="F484" s="10">
        <f>'Sch 5'!C468</f>
        <v>78776</v>
      </c>
      <c r="G484" s="10">
        <f t="shared" si="134"/>
        <v>90344</v>
      </c>
      <c r="H484" s="10"/>
      <c r="I484" s="15" t="s">
        <v>350</v>
      </c>
      <c r="J484" s="38"/>
    </row>
    <row r="485" spans="1:11" ht="14.1" customHeight="1">
      <c r="A485" s="374">
        <f t="shared" si="124"/>
        <v>469</v>
      </c>
      <c r="B485" s="22" t="s">
        <v>299</v>
      </c>
      <c r="C485" s="43">
        <v>80</v>
      </c>
      <c r="D485" s="43">
        <f t="shared" si="133"/>
        <v>0</v>
      </c>
      <c r="E485" s="43">
        <f>C485</f>
        <v>80</v>
      </c>
      <c r="F485" s="10">
        <f>'Sch 5'!C469</f>
        <v>0</v>
      </c>
      <c r="G485" s="10">
        <f>E485+F485</f>
        <v>80</v>
      </c>
      <c r="H485" s="10"/>
      <c r="I485" s="15" t="s">
        <v>362</v>
      </c>
      <c r="J485" s="38"/>
    </row>
    <row r="486" spans="1:11" ht="14.1" customHeight="1">
      <c r="A486" s="374">
        <f t="shared" si="124"/>
        <v>470</v>
      </c>
      <c r="B486" s="22" t="s">
        <v>795</v>
      </c>
      <c r="C486" s="43">
        <f>3301406.94+966335.06</f>
        <v>4267742</v>
      </c>
      <c r="D486" s="43">
        <f t="shared" si="133"/>
        <v>29874</v>
      </c>
      <c r="E486" s="43">
        <f>ROUND(C486*'Allocation Factors'!$G$20,0)</f>
        <v>4237868</v>
      </c>
      <c r="F486" s="10">
        <f>'Sch 5'!C470</f>
        <v>0</v>
      </c>
      <c r="G486" s="10">
        <f>E486+F486</f>
        <v>4237868</v>
      </c>
      <c r="H486" s="10"/>
      <c r="I486" s="15" t="s">
        <v>350</v>
      </c>
      <c r="J486" s="38"/>
    </row>
    <row r="487" spans="1:11" ht="13.5" customHeight="1">
      <c r="A487" s="374">
        <f t="shared" si="124"/>
        <v>471</v>
      </c>
      <c r="B487" s="22" t="s">
        <v>327</v>
      </c>
      <c r="C487" s="43">
        <f>-78776+15328+4600</f>
        <v>-58848</v>
      </c>
      <c r="D487" s="43">
        <f t="shared" si="133"/>
        <v>0</v>
      </c>
      <c r="E487" s="43">
        <f>ROUND(C487*'Allocation Factors'!$G$34,0)</f>
        <v>-58848</v>
      </c>
      <c r="F487" s="10">
        <f>'Sch 5'!C471</f>
        <v>0</v>
      </c>
      <c r="G487" s="10">
        <f t="shared" si="134"/>
        <v>-58848</v>
      </c>
      <c r="H487" s="10"/>
      <c r="I487" s="15" t="s">
        <v>362</v>
      </c>
      <c r="J487" s="38"/>
    </row>
    <row r="488" spans="1:11" ht="13.5" customHeight="1">
      <c r="A488" s="374">
        <f t="shared" si="124"/>
        <v>472</v>
      </c>
      <c r="B488" s="22" t="s">
        <v>300</v>
      </c>
      <c r="C488" s="43">
        <v>0</v>
      </c>
      <c r="D488" s="43">
        <f t="shared" si="133"/>
        <v>0</v>
      </c>
      <c r="E488" s="43">
        <f>ROUND(C488*'Allocation Factors'!$G$34,0)</f>
        <v>0</v>
      </c>
      <c r="F488" s="10">
        <f>'Sch 5'!C472</f>
        <v>0</v>
      </c>
      <c r="G488" s="10">
        <f t="shared" si="134"/>
        <v>0</v>
      </c>
      <c r="H488" s="10"/>
      <c r="I488" s="15" t="s">
        <v>362</v>
      </c>
      <c r="J488" s="38"/>
    </row>
    <row r="489" spans="1:11" ht="14.1" customHeight="1">
      <c r="A489" s="374">
        <f t="shared" si="124"/>
        <v>473</v>
      </c>
      <c r="B489" s="22" t="s">
        <v>301</v>
      </c>
      <c r="C489" s="43">
        <v>6603.72</v>
      </c>
      <c r="D489" s="43">
        <f t="shared" si="133"/>
        <v>52.720000000000255</v>
      </c>
      <c r="E489" s="43">
        <f>ROUND(C489*'Allocation Factors'!$G$30,0)</f>
        <v>6551</v>
      </c>
      <c r="F489" s="10">
        <f>'Sch 5'!C473</f>
        <v>0</v>
      </c>
      <c r="G489" s="10">
        <f t="shared" si="134"/>
        <v>6551</v>
      </c>
      <c r="H489" s="10"/>
      <c r="I489" s="15" t="s">
        <v>370</v>
      </c>
      <c r="J489" s="38"/>
    </row>
    <row r="490" spans="1:11" ht="14.1" customHeight="1">
      <c r="A490" s="374">
        <f t="shared" si="124"/>
        <v>474</v>
      </c>
      <c r="B490" s="56" t="s">
        <v>302</v>
      </c>
      <c r="C490" s="43">
        <f>202281.06+204641+38884+-2222.54+21250+4000</f>
        <v>468833.52</v>
      </c>
      <c r="D490" s="43">
        <f t="shared" si="133"/>
        <v>7032.5200000000186</v>
      </c>
      <c r="E490" s="43">
        <f>ROUND(C490*'Allocation Factors'!$G$22,0)</f>
        <v>461801</v>
      </c>
      <c r="F490" s="10">
        <f>'Sch 5'!C474</f>
        <v>0</v>
      </c>
      <c r="G490" s="10">
        <f t="shared" si="134"/>
        <v>461801</v>
      </c>
      <c r="H490" s="10"/>
      <c r="I490" s="15" t="s">
        <v>352</v>
      </c>
      <c r="J490" s="38"/>
    </row>
    <row r="491" spans="1:11" ht="14.1" customHeight="1">
      <c r="A491" s="374">
        <f t="shared" si="124"/>
        <v>475</v>
      </c>
      <c r="B491" s="20" t="s">
        <v>524</v>
      </c>
      <c r="C491" s="86">
        <f>SUM(C479:C490)</f>
        <v>21605601.739999998</v>
      </c>
      <c r="D491" s="86">
        <f t="shared" ref="D491:G491" si="135">SUM(D479:D490)</f>
        <v>-16893.260000001203</v>
      </c>
      <c r="E491" s="86">
        <f t="shared" si="135"/>
        <v>21622495</v>
      </c>
      <c r="F491" s="86">
        <f t="shared" si="135"/>
        <v>790361.24</v>
      </c>
      <c r="G491" s="86">
        <f t="shared" si="135"/>
        <v>22412856.240000002</v>
      </c>
      <c r="H491" s="86"/>
      <c r="I491" s="152"/>
      <c r="J491" s="38"/>
    </row>
    <row r="492" spans="1:11" ht="14.1" customHeight="1">
      <c r="A492" s="374">
        <f t="shared" si="124"/>
        <v>476</v>
      </c>
      <c r="B492" s="20"/>
      <c r="C492" s="16"/>
      <c r="D492" s="16"/>
      <c r="E492" s="135"/>
      <c r="F492" s="16"/>
      <c r="G492" s="16"/>
      <c r="H492" s="16"/>
      <c r="I492" s="17"/>
      <c r="J492" s="38"/>
    </row>
    <row r="493" spans="1:11" ht="14.1" customHeight="1">
      <c r="A493" s="374">
        <f t="shared" si="124"/>
        <v>477</v>
      </c>
      <c r="B493" s="22" t="s">
        <v>818</v>
      </c>
      <c r="C493" s="43">
        <f>('Sch 8'!E42+'Sch 8'!G42)*-1</f>
        <v>-558625.46</v>
      </c>
      <c r="D493" s="43">
        <f>C493-E493</f>
        <v>-8379.4599999999627</v>
      </c>
      <c r="E493" s="43">
        <f>ROUND(C493*'Allocation Factors'!$G$10,0)</f>
        <v>-550246</v>
      </c>
      <c r="F493" s="10">
        <f>'Sch 5'!C477</f>
        <v>-431810</v>
      </c>
      <c r="G493" s="10">
        <f>E493+F493</f>
        <v>-982056</v>
      </c>
      <c r="H493" s="10"/>
      <c r="I493" s="15" t="s">
        <v>341</v>
      </c>
      <c r="J493" s="38"/>
    </row>
    <row r="494" spans="1:11" ht="14.1" customHeight="1">
      <c r="A494" s="374">
        <f t="shared" si="124"/>
        <v>478</v>
      </c>
      <c r="B494" s="22" t="s">
        <v>819</v>
      </c>
      <c r="C494" s="43">
        <f>('Sch 8'!I42+'Sch 8'!K42)*-1</f>
        <v>-284616.24</v>
      </c>
      <c r="D494" s="43">
        <f>C494-E494</f>
        <v>-4269.2399999999907</v>
      </c>
      <c r="E494" s="43">
        <f>ROUND(C494*'Allocation Factors'!$G$16,0)</f>
        <v>-280347</v>
      </c>
      <c r="F494" s="10">
        <f>'Sch 5'!C478</f>
        <v>0</v>
      </c>
      <c r="G494" s="10">
        <f>E494+F494</f>
        <v>-280347</v>
      </c>
      <c r="H494" s="10"/>
      <c r="I494" s="15" t="s">
        <v>346</v>
      </c>
      <c r="J494" s="38"/>
    </row>
    <row r="495" spans="1:11" ht="14.1" customHeight="1">
      <c r="A495" s="374">
        <f t="shared" si="124"/>
        <v>479</v>
      </c>
      <c r="B495" s="22" t="s">
        <v>820</v>
      </c>
      <c r="C495" s="43">
        <f>('Sch 8'!M42+'Sch 8'!O42)*-1</f>
        <v>-350231.4</v>
      </c>
      <c r="D495" s="43">
        <f>C495-E495</f>
        <v>-350.40000000002328</v>
      </c>
      <c r="E495" s="43">
        <f>ROUND(C495*'Allocation Factors'!$G$18,0)</f>
        <v>-349881</v>
      </c>
      <c r="F495" s="10">
        <f>'Sch 5'!C479</f>
        <v>0</v>
      </c>
      <c r="G495" s="10">
        <f t="shared" ref="G495:G496" si="136">E495+F495</f>
        <v>-349881</v>
      </c>
      <c r="H495" s="10"/>
      <c r="I495" s="15" t="s">
        <v>348</v>
      </c>
      <c r="J495" s="38"/>
    </row>
    <row r="496" spans="1:11" ht="14.1" customHeight="1">
      <c r="A496" s="374">
        <f t="shared" si="124"/>
        <v>480</v>
      </c>
      <c r="B496" s="22" t="s">
        <v>821</v>
      </c>
      <c r="C496" s="43">
        <f>('Sch 8'!Q42+'Sch 8'!S42)*-1</f>
        <v>-39062.449999999997</v>
      </c>
      <c r="D496" s="43">
        <f>C496-E496</f>
        <v>-585.44999999999709</v>
      </c>
      <c r="E496" s="43">
        <f>ROUND(C496*'Allocation Factors'!$G$22,0)</f>
        <v>-38477</v>
      </c>
      <c r="F496" s="10">
        <f>'Sch 5'!C480</f>
        <v>0</v>
      </c>
      <c r="G496" s="10">
        <f t="shared" si="136"/>
        <v>-38477</v>
      </c>
      <c r="H496" s="10"/>
      <c r="I496" s="15" t="s">
        <v>352</v>
      </c>
      <c r="J496" s="38"/>
    </row>
    <row r="497" spans="1:11" ht="14.1" customHeight="1">
      <c r="A497" s="374">
        <f t="shared" si="124"/>
        <v>481</v>
      </c>
      <c r="B497" s="22"/>
      <c r="C497" s="43"/>
      <c r="D497" s="43"/>
      <c r="E497" s="43"/>
      <c r="F497" s="10"/>
      <c r="G497" s="10"/>
      <c r="H497" s="10"/>
      <c r="I497" s="15"/>
      <c r="J497" s="38"/>
    </row>
    <row r="498" spans="1:11" ht="14.1" customHeight="1">
      <c r="A498" s="374">
        <f t="shared" si="124"/>
        <v>482</v>
      </c>
      <c r="B498" s="22" t="s">
        <v>303</v>
      </c>
      <c r="C498" s="43">
        <v>110400.06</v>
      </c>
      <c r="D498" s="43">
        <f>C498-E498</f>
        <v>5.9999999997671694E-2</v>
      </c>
      <c r="E498" s="90">
        <f>ROUND(C498*'Allocation Factors'!$G$34,0)</f>
        <v>110400</v>
      </c>
      <c r="F498" s="10">
        <f>'Sch 5'!C481</f>
        <v>67254</v>
      </c>
      <c r="G498" s="10">
        <f>E498+F498</f>
        <v>177654</v>
      </c>
      <c r="H498" s="10"/>
      <c r="I498" s="15" t="s">
        <v>362</v>
      </c>
      <c r="J498" s="38"/>
    </row>
    <row r="499" spans="1:11" ht="14.1" customHeight="1">
      <c r="A499" s="374">
        <f t="shared" si="124"/>
        <v>483</v>
      </c>
      <c r="B499" s="22"/>
      <c r="C499" s="43"/>
      <c r="D499" s="43"/>
      <c r="E499" s="14"/>
      <c r="F499" s="10"/>
      <c r="G499" s="10"/>
      <c r="H499" s="10"/>
      <c r="I499" s="15"/>
      <c r="J499" s="38"/>
    </row>
    <row r="500" spans="1:11" ht="14.1" customHeight="1">
      <c r="A500" s="374">
        <f t="shared" si="124"/>
        <v>484</v>
      </c>
      <c r="B500" s="3" t="s">
        <v>304</v>
      </c>
      <c r="C500" s="43"/>
      <c r="D500" s="24"/>
      <c r="E500" s="11"/>
      <c r="F500" s="43"/>
      <c r="G500" s="10"/>
      <c r="H500" s="10"/>
      <c r="I500" s="15"/>
      <c r="J500" s="38"/>
    </row>
    <row r="501" spans="1:11" ht="13.5" customHeight="1">
      <c r="A501" s="374">
        <f t="shared" si="124"/>
        <v>485</v>
      </c>
      <c r="B501" s="22" t="s">
        <v>305</v>
      </c>
      <c r="C501" s="43">
        <v>-1007178.36</v>
      </c>
      <c r="D501" s="43">
        <f>J501</f>
        <v>-1001860</v>
      </c>
      <c r="E501" s="43">
        <f>C501-D501</f>
        <v>-5318.359999999986</v>
      </c>
      <c r="F501" s="10">
        <f>'Sch 5'!C484</f>
        <v>0</v>
      </c>
      <c r="G501" s="10">
        <f t="shared" ref="G501:G508" si="137">E501+F501</f>
        <v>-5318.359999999986</v>
      </c>
      <c r="H501" s="10"/>
      <c r="I501" s="15" t="s">
        <v>362</v>
      </c>
      <c r="J501" s="38">
        <v>-1001860</v>
      </c>
      <c r="K501" s="89" t="s">
        <v>964</v>
      </c>
    </row>
    <row r="502" spans="1:11" ht="13.5" customHeight="1">
      <c r="A502" s="374">
        <f t="shared" si="124"/>
        <v>486</v>
      </c>
      <c r="B502" s="22" t="s">
        <v>306</v>
      </c>
      <c r="C502" s="43">
        <v>0</v>
      </c>
      <c r="D502" s="43">
        <f t="shared" ref="D502:D508" si="138">C502-E502</f>
        <v>0</v>
      </c>
      <c r="E502" s="43">
        <v>0</v>
      </c>
      <c r="F502" s="10">
        <f>'Sch 5'!C485</f>
        <v>0</v>
      </c>
      <c r="G502" s="10">
        <f t="shared" si="137"/>
        <v>0</v>
      </c>
      <c r="H502" s="10"/>
      <c r="I502" s="15" t="s">
        <v>54</v>
      </c>
      <c r="J502" s="38"/>
    </row>
    <row r="503" spans="1:11" ht="13.5" customHeight="1">
      <c r="A503" s="374">
        <f t="shared" si="124"/>
        <v>487</v>
      </c>
      <c r="B503" s="22" t="s">
        <v>796</v>
      </c>
      <c r="C503" s="43">
        <f>-(75.78+2572.56+235500+33600-92535.52)</f>
        <v>-179212.81999999995</v>
      </c>
      <c r="D503" s="43">
        <f t="shared" si="138"/>
        <v>-2508.8199999999488</v>
      </c>
      <c r="E503" s="43">
        <f>ROUND(C503*'Allocation Factors'!$G$14,0)</f>
        <v>-176704</v>
      </c>
      <c r="F503" s="10">
        <f>'Sch 5'!C486</f>
        <v>91240.02</v>
      </c>
      <c r="G503" s="10">
        <f t="shared" si="137"/>
        <v>-85463.98</v>
      </c>
      <c r="H503" s="10"/>
      <c r="I503" s="15" t="s">
        <v>344</v>
      </c>
      <c r="J503" s="38"/>
    </row>
    <row r="504" spans="1:11" ht="14.1" customHeight="1">
      <c r="A504" s="374">
        <f t="shared" ref="A504:A517" si="139">+A503+1</f>
        <v>488</v>
      </c>
      <c r="B504" s="22" t="s">
        <v>817</v>
      </c>
      <c r="C504" s="43">
        <v>897858.87</v>
      </c>
      <c r="D504" s="43">
        <f t="shared" si="138"/>
        <v>13467.869999999995</v>
      </c>
      <c r="E504" s="43">
        <f>ROUND(C504*'Allocation Factors'!$G$10,0)</f>
        <v>884391</v>
      </c>
      <c r="F504" s="10">
        <f>'Sch 5'!C487</f>
        <v>-109495</v>
      </c>
      <c r="G504" s="10">
        <f t="shared" si="137"/>
        <v>774896</v>
      </c>
      <c r="H504" s="10"/>
      <c r="I504" s="15" t="s">
        <v>341</v>
      </c>
      <c r="J504" s="38"/>
    </row>
    <row r="505" spans="1:11" ht="13.5" customHeight="1">
      <c r="A505" s="374">
        <f t="shared" si="139"/>
        <v>489</v>
      </c>
      <c r="B505" s="22" t="s">
        <v>308</v>
      </c>
      <c r="C505" s="43">
        <f>1215902.01+1636590.19</f>
        <v>2852492.2</v>
      </c>
      <c r="D505" s="43">
        <f>C505-E505</f>
        <v>1215902.0100000002</v>
      </c>
      <c r="E505" s="43">
        <f>J505</f>
        <v>1636590.19</v>
      </c>
      <c r="F505" s="10">
        <f>'Sch 5'!C488</f>
        <v>0</v>
      </c>
      <c r="G505" s="10">
        <f t="shared" si="137"/>
        <v>1636590.19</v>
      </c>
      <c r="H505" s="10"/>
      <c r="I505" s="15" t="s">
        <v>362</v>
      </c>
      <c r="J505" s="38">
        <v>1636590.19</v>
      </c>
      <c r="K505" s="89" t="s">
        <v>963</v>
      </c>
    </row>
    <row r="506" spans="1:11" ht="13.5" customHeight="1">
      <c r="A506" s="374">
        <f t="shared" si="139"/>
        <v>490</v>
      </c>
      <c r="B506" s="22" t="s">
        <v>834</v>
      </c>
      <c r="C506" s="43">
        <v>-18349.419999999998</v>
      </c>
      <c r="D506" s="43">
        <f t="shared" si="138"/>
        <v>-312.41999999999825</v>
      </c>
      <c r="E506" s="43">
        <f>ROUND(C506*'Allocation Factors'!$G$26,0)</f>
        <v>-18037</v>
      </c>
      <c r="F506" s="10">
        <f>'Sch 5'!C489</f>
        <v>0</v>
      </c>
      <c r="G506" s="10">
        <f t="shared" si="137"/>
        <v>-18037</v>
      </c>
      <c r="H506" s="10"/>
      <c r="I506" s="15" t="s">
        <v>355</v>
      </c>
      <c r="J506" s="38"/>
    </row>
    <row r="507" spans="1:11" ht="13.5" customHeight="1">
      <c r="A507" s="374">
        <f t="shared" si="139"/>
        <v>491</v>
      </c>
      <c r="B507" s="22" t="s">
        <v>835</v>
      </c>
      <c r="C507" s="43">
        <v>68215.899999999994</v>
      </c>
      <c r="D507" s="43">
        <f t="shared" si="138"/>
        <v>1159.8999999999942</v>
      </c>
      <c r="E507" s="43">
        <f>ROUND(C507*'Allocation Factors'!$G$26,0)</f>
        <v>67056</v>
      </c>
      <c r="F507" s="10">
        <f>'Sch 5'!C490</f>
        <v>0</v>
      </c>
      <c r="G507" s="10">
        <f t="shared" si="137"/>
        <v>67056</v>
      </c>
      <c r="H507" s="10"/>
      <c r="I507" s="15" t="s">
        <v>355</v>
      </c>
      <c r="J507" s="38"/>
    </row>
    <row r="508" spans="1:11" ht="14.1" customHeight="1">
      <c r="A508" s="374">
        <f t="shared" si="139"/>
        <v>492</v>
      </c>
      <c r="B508" s="56" t="s">
        <v>832</v>
      </c>
      <c r="C508" s="64">
        <v>984033.03</v>
      </c>
      <c r="D508" s="43">
        <f t="shared" si="138"/>
        <v>613122.03</v>
      </c>
      <c r="E508" s="43">
        <f>ROUND((C508-(C508-J508))*'Allocation Factors'!$G$26,0)</f>
        <v>370911</v>
      </c>
      <c r="F508" s="10">
        <f>'Sch 5'!C491</f>
        <v>0</v>
      </c>
      <c r="G508" s="10">
        <f t="shared" si="137"/>
        <v>370911</v>
      </c>
      <c r="H508" s="10"/>
      <c r="I508" s="15" t="s">
        <v>355</v>
      </c>
      <c r="J508" s="43">
        <v>377325.60000000015</v>
      </c>
      <c r="K508" s="89" t="s">
        <v>1028</v>
      </c>
    </row>
    <row r="509" spans="1:11" ht="14.1" customHeight="1">
      <c r="A509" s="374">
        <f t="shared" si="139"/>
        <v>493</v>
      </c>
      <c r="B509" s="13" t="s">
        <v>310</v>
      </c>
      <c r="C509" s="47">
        <f>SUM(C501:C508)</f>
        <v>3597859.4000000004</v>
      </c>
      <c r="D509" s="47">
        <f t="shared" ref="D509:G509" si="140">SUM(D501:D508)</f>
        <v>838970.5700000003</v>
      </c>
      <c r="E509" s="47">
        <f t="shared" si="140"/>
        <v>2758888.83</v>
      </c>
      <c r="F509" s="47">
        <f t="shared" si="140"/>
        <v>-18254.979999999996</v>
      </c>
      <c r="G509" s="47">
        <f t="shared" si="140"/>
        <v>2740633.85</v>
      </c>
      <c r="H509" s="47"/>
      <c r="I509" s="164"/>
      <c r="J509" s="38"/>
    </row>
    <row r="510" spans="1:11" ht="14.1" customHeight="1">
      <c r="A510" s="374">
        <f t="shared" si="139"/>
        <v>494</v>
      </c>
      <c r="B510" s="22"/>
      <c r="C510" s="43"/>
      <c r="D510" s="16"/>
      <c r="E510" s="43"/>
      <c r="F510" s="43"/>
      <c r="G510" s="43"/>
      <c r="H510" s="43"/>
      <c r="I510" s="15"/>
      <c r="J510" s="38"/>
    </row>
    <row r="511" spans="1:11" ht="14.1" customHeight="1">
      <c r="A511" s="374">
        <f t="shared" si="139"/>
        <v>495</v>
      </c>
      <c r="B511" s="22"/>
      <c r="C511" s="43"/>
      <c r="D511" s="43"/>
      <c r="E511" s="43"/>
      <c r="F511" s="43"/>
      <c r="G511" s="43"/>
      <c r="H511" s="43"/>
      <c r="I511" s="15"/>
      <c r="J511" s="38"/>
    </row>
    <row r="512" spans="1:11" ht="13.9" customHeight="1">
      <c r="A512" s="374">
        <f t="shared" si="139"/>
        <v>496</v>
      </c>
      <c r="B512" s="13" t="s">
        <v>311</v>
      </c>
      <c r="C512" s="43"/>
      <c r="D512" s="43"/>
      <c r="E512" s="43"/>
      <c r="F512" s="43"/>
      <c r="G512" s="10"/>
      <c r="H512" s="10"/>
      <c r="I512" s="15"/>
      <c r="J512" s="38"/>
    </row>
    <row r="513" spans="1:10" ht="13.9" customHeight="1">
      <c r="A513" s="374">
        <f t="shared" si="139"/>
        <v>497</v>
      </c>
      <c r="B513" s="134" t="s">
        <v>328</v>
      </c>
      <c r="C513" s="43">
        <v>-2593601</v>
      </c>
      <c r="D513" s="43">
        <f>C513-E513</f>
        <v>-2802908</v>
      </c>
      <c r="E513" s="209">
        <v>209307</v>
      </c>
      <c r="F513" s="10">
        <f>'Sch 5'!C496</f>
        <v>481719</v>
      </c>
      <c r="G513" s="10">
        <f>E513+F513</f>
        <v>691026</v>
      </c>
      <c r="H513" s="10"/>
      <c r="I513" s="15" t="s">
        <v>54</v>
      </c>
      <c r="J513" s="38"/>
    </row>
    <row r="514" spans="1:10" ht="14.1" customHeight="1">
      <c r="A514" s="374">
        <f t="shared" si="139"/>
        <v>498</v>
      </c>
      <c r="B514" s="134" t="s">
        <v>312</v>
      </c>
      <c r="C514" s="43">
        <v>4962524</v>
      </c>
      <c r="D514" s="43">
        <f>C514-E514</f>
        <v>6038900</v>
      </c>
      <c r="E514" s="209">
        <v>-1076376</v>
      </c>
      <c r="F514" s="10">
        <f>'Sch 5'!C497</f>
        <v>-4546975</v>
      </c>
      <c r="G514" s="10">
        <f>E514+F514</f>
        <v>-5623351</v>
      </c>
      <c r="H514" s="10"/>
      <c r="I514" s="15" t="s">
        <v>54</v>
      </c>
      <c r="J514" s="38"/>
    </row>
    <row r="515" spans="1:10" ht="14.1" customHeight="1">
      <c r="A515" s="374">
        <f t="shared" si="139"/>
        <v>499</v>
      </c>
      <c r="B515" s="134" t="s">
        <v>313</v>
      </c>
      <c r="C515" s="43">
        <v>17284111</v>
      </c>
      <c r="D515" s="43">
        <f>C515-E515</f>
        <v>-3811465</v>
      </c>
      <c r="E515" s="210">
        <v>21095576</v>
      </c>
      <c r="F515" s="10">
        <f>'Sch 5'!C498</f>
        <v>-1516162</v>
      </c>
      <c r="G515" s="10">
        <f>E515+F515</f>
        <v>19579414</v>
      </c>
      <c r="H515" s="10"/>
      <c r="I515" s="15" t="s">
        <v>54</v>
      </c>
      <c r="J515" s="38"/>
    </row>
    <row r="516" spans="1:10" ht="14.1" customHeight="1">
      <c r="A516" s="374">
        <f t="shared" si="139"/>
        <v>500</v>
      </c>
      <c r="B516" s="134" t="s">
        <v>314</v>
      </c>
      <c r="C516" s="43">
        <v>-2362</v>
      </c>
      <c r="D516" s="43">
        <f>C516-E516</f>
        <v>-35</v>
      </c>
      <c r="E516" s="210">
        <v>-2327</v>
      </c>
      <c r="F516" s="10">
        <f>'Sch 5'!C499</f>
        <v>0</v>
      </c>
      <c r="G516" s="10">
        <f>E516+F516</f>
        <v>-2327</v>
      </c>
      <c r="H516" s="10"/>
      <c r="I516" s="15" t="s">
        <v>54</v>
      </c>
      <c r="J516" s="38"/>
    </row>
    <row r="517" spans="1:10" ht="14.1" customHeight="1">
      <c r="A517" s="374">
        <f t="shared" si="139"/>
        <v>501</v>
      </c>
      <c r="B517" s="57" t="s">
        <v>329</v>
      </c>
      <c r="C517" s="43">
        <v>0</v>
      </c>
      <c r="D517" s="43">
        <f>C517-E517</f>
        <v>0</v>
      </c>
      <c r="E517" s="341">
        <v>0</v>
      </c>
      <c r="F517" s="10">
        <f>'Sch 5'!C500</f>
        <v>0</v>
      </c>
      <c r="G517" s="10">
        <f>E517+F517</f>
        <v>0</v>
      </c>
      <c r="H517" s="10"/>
      <c r="I517" s="15" t="s">
        <v>54</v>
      </c>
      <c r="J517" s="38"/>
    </row>
    <row r="518" spans="1:10" ht="14.1" customHeight="1">
      <c r="A518" s="374">
        <f t="shared" ref="A518" si="141">+A517+1</f>
        <v>502</v>
      </c>
      <c r="B518" s="13" t="s">
        <v>315</v>
      </c>
      <c r="C518" s="47">
        <f>SUM(C512:C517)</f>
        <v>19650672</v>
      </c>
      <c r="D518" s="47">
        <f t="shared" ref="D518:G518" si="142">SUM(D512:D517)</f>
        <v>-575508</v>
      </c>
      <c r="E518" s="47">
        <f t="shared" si="142"/>
        <v>20226180</v>
      </c>
      <c r="F518" s="47">
        <f t="shared" si="142"/>
        <v>-5581418</v>
      </c>
      <c r="G518" s="47">
        <f t="shared" si="142"/>
        <v>14644762</v>
      </c>
      <c r="H518" s="47"/>
      <c r="I518" s="164"/>
      <c r="J518" s="38"/>
    </row>
    <row r="519" spans="1:10" ht="14.1" customHeight="1">
      <c r="B519" s="22"/>
      <c r="C519" s="133"/>
      <c r="D519" s="133"/>
      <c r="E519" s="133"/>
      <c r="F519" s="133"/>
      <c r="G519" s="43"/>
      <c r="H519" s="43"/>
      <c r="I519" s="15"/>
      <c r="J519" s="38"/>
    </row>
    <row r="520" spans="1:10" s="22" customFormat="1" ht="14.1" customHeight="1">
      <c r="A520" s="373"/>
      <c r="B520" s="13"/>
      <c r="C520" s="133"/>
      <c r="D520" s="189"/>
      <c r="E520" s="190"/>
      <c r="F520" s="190"/>
      <c r="G520" s="43"/>
      <c r="H520" s="43"/>
      <c r="I520" s="15"/>
      <c r="J520" s="65"/>
    </row>
    <row r="521" spans="1:10" s="22" customFormat="1" ht="14.1" customHeight="1">
      <c r="A521" s="373"/>
      <c r="C521" s="191"/>
      <c r="D521" s="189"/>
      <c r="E521" s="190"/>
      <c r="F521" s="190"/>
      <c r="G521" s="43"/>
      <c r="H521" s="43"/>
      <c r="I521" s="15"/>
      <c r="J521" s="65"/>
    </row>
    <row r="522" spans="1:10" s="22" customFormat="1" ht="14.1" customHeight="1">
      <c r="A522" s="373"/>
      <c r="C522" s="43"/>
      <c r="D522" s="190"/>
      <c r="E522" s="190"/>
      <c r="F522" s="190"/>
      <c r="G522" s="43"/>
      <c r="H522" s="43"/>
      <c r="I522" s="15"/>
      <c r="J522" s="65"/>
    </row>
    <row r="523" spans="1:10" s="22" customFormat="1" ht="14.1" customHeight="1">
      <c r="A523" s="373"/>
      <c r="C523" s="43"/>
      <c r="D523" s="190"/>
      <c r="E523" s="190"/>
      <c r="F523" s="190"/>
      <c r="G523" s="43"/>
      <c r="H523" s="43"/>
      <c r="I523" s="15"/>
      <c r="J523" s="65"/>
    </row>
    <row r="524" spans="1:10" s="22" customFormat="1" ht="14.1" customHeight="1">
      <c r="A524" s="373"/>
      <c r="C524" s="43"/>
      <c r="D524" s="190"/>
      <c r="E524" s="190"/>
      <c r="F524" s="190"/>
      <c r="G524" s="43"/>
      <c r="H524" s="43"/>
      <c r="I524" s="15"/>
      <c r="J524" s="65"/>
    </row>
    <row r="525" spans="1:10" s="22" customFormat="1" ht="14.1" customHeight="1">
      <c r="A525" s="373"/>
      <c r="B525" s="13"/>
      <c r="D525" s="133"/>
      <c r="E525" s="133"/>
      <c r="F525" s="190"/>
      <c r="G525" s="43"/>
      <c r="H525" s="43"/>
      <c r="I525" s="15"/>
      <c r="J525" s="65"/>
    </row>
    <row r="526" spans="1:10" s="22" customFormat="1" ht="14.1" customHeight="1">
      <c r="A526" s="373"/>
      <c r="C526" s="190"/>
      <c r="D526" s="189"/>
      <c r="E526" s="190"/>
      <c r="F526" s="190"/>
      <c r="G526" s="43"/>
      <c r="H526" s="43"/>
      <c r="I526" s="15"/>
      <c r="J526" s="65"/>
    </row>
    <row r="527" spans="1:10" s="22" customFormat="1" ht="14.1" customHeight="1">
      <c r="A527" s="373"/>
      <c r="C527" s="43"/>
      <c r="D527" s="190"/>
      <c r="E527" s="190"/>
      <c r="F527" s="190"/>
      <c r="G527" s="43"/>
      <c r="H527" s="43"/>
      <c r="I527" s="15"/>
      <c r="J527" s="65"/>
    </row>
    <row r="528" spans="1:10" s="22" customFormat="1" ht="14.1" customHeight="1">
      <c r="A528" s="373"/>
      <c r="C528" s="43"/>
      <c r="D528" s="190"/>
      <c r="E528" s="190"/>
      <c r="F528" s="190"/>
      <c r="G528" s="43"/>
      <c r="H528" s="43"/>
      <c r="I528" s="15"/>
      <c r="J528" s="65"/>
    </row>
    <row r="529" spans="1:11" s="22" customFormat="1" ht="14.1" customHeight="1">
      <c r="A529" s="373"/>
      <c r="C529" s="43"/>
      <c r="D529" s="190"/>
      <c r="E529" s="190"/>
      <c r="F529" s="190"/>
      <c r="G529" s="43"/>
      <c r="H529" s="43"/>
      <c r="I529" s="15"/>
      <c r="J529" s="65"/>
    </row>
    <row r="530" spans="1:11" s="22" customFormat="1" ht="14.1" customHeight="1">
      <c r="A530" s="373"/>
      <c r="C530" s="43"/>
      <c r="D530" s="190"/>
      <c r="E530" s="190"/>
      <c r="F530" s="190"/>
      <c r="G530" s="43"/>
      <c r="H530" s="43"/>
      <c r="I530" s="15"/>
      <c r="J530" s="192"/>
      <c r="K530" s="373"/>
    </row>
    <row r="531" spans="1:11" s="22" customFormat="1" ht="14.1" customHeight="1">
      <c r="A531" s="373"/>
      <c r="C531" s="43"/>
      <c r="D531" s="190"/>
      <c r="E531" s="190"/>
      <c r="F531" s="190"/>
      <c r="G531" s="43"/>
      <c r="H531" s="43"/>
      <c r="I531" s="15"/>
      <c r="J531" s="65"/>
    </row>
    <row r="532" spans="1:11" s="22" customFormat="1" ht="14.1" customHeight="1">
      <c r="A532" s="373"/>
      <c r="B532" s="13"/>
      <c r="C532" s="190"/>
      <c r="D532" s="190"/>
      <c r="E532" s="190"/>
      <c r="F532" s="190"/>
      <c r="G532" s="43"/>
      <c r="H532" s="43"/>
      <c r="I532" s="193"/>
      <c r="J532" s="65"/>
    </row>
    <row r="533" spans="1:11" s="22" customFormat="1" ht="14.1" customHeight="1">
      <c r="A533" s="373"/>
      <c r="C533" s="43"/>
      <c r="D533" s="190"/>
      <c r="E533" s="190"/>
      <c r="F533" s="190"/>
      <c r="G533" s="43"/>
      <c r="H533" s="43"/>
      <c r="I533" s="15"/>
      <c r="J533" s="194"/>
    </row>
    <row r="534" spans="1:11" s="22" customFormat="1" ht="14.1" customHeight="1">
      <c r="A534" s="373"/>
      <c r="B534" s="13"/>
      <c r="C534" s="190"/>
      <c r="D534" s="190"/>
      <c r="E534" s="190"/>
      <c r="F534" s="190"/>
      <c r="G534" s="43"/>
      <c r="H534" s="43"/>
      <c r="I534" s="15"/>
      <c r="J534" s="190"/>
    </row>
    <row r="535" spans="1:11" s="22" customFormat="1" ht="14.1" customHeight="1">
      <c r="A535" s="373"/>
      <c r="E535" s="195"/>
      <c r="F535" s="195"/>
      <c r="G535" s="43"/>
      <c r="H535" s="43"/>
      <c r="I535" s="15"/>
      <c r="J535" s="194"/>
    </row>
    <row r="536" spans="1:11" s="22" customFormat="1" ht="14.1" customHeight="1">
      <c r="A536" s="373"/>
      <c r="B536" s="13"/>
      <c r="C536" s="84"/>
      <c r="D536" s="85"/>
      <c r="E536" s="85"/>
      <c r="F536" s="196"/>
      <c r="G536" s="43"/>
      <c r="H536" s="43"/>
      <c r="I536" s="15"/>
      <c r="J536" s="194"/>
    </row>
    <row r="537" spans="1:11" ht="14.1" customHeight="1">
      <c r="B537" s="22"/>
      <c r="D537" s="197"/>
      <c r="E537" s="197"/>
      <c r="F537" s="195"/>
      <c r="G537" s="10"/>
      <c r="H537" s="10"/>
      <c r="I537" s="15"/>
      <c r="J537" s="14"/>
    </row>
    <row r="538" spans="1:11" ht="14.1" customHeight="1">
      <c r="B538" s="198"/>
      <c r="C538" s="38"/>
      <c r="D538" s="199"/>
      <c r="E538" s="200"/>
      <c r="F538" s="195"/>
      <c r="G538" s="10"/>
      <c r="H538" s="10"/>
      <c r="I538" s="15"/>
      <c r="J538" s="14"/>
    </row>
    <row r="539" spans="1:11" ht="14.1" customHeight="1">
      <c r="B539" s="22"/>
      <c r="E539" s="201"/>
      <c r="F539" s="201"/>
      <c r="G539" s="10"/>
      <c r="H539" s="10"/>
      <c r="I539" s="193"/>
      <c r="J539" s="14"/>
    </row>
    <row r="540" spans="1:11" ht="14.1" customHeight="1">
      <c r="B540" s="22"/>
      <c r="E540" s="200"/>
      <c r="F540" s="200"/>
      <c r="G540" s="10"/>
      <c r="H540" s="10"/>
      <c r="I540" s="193"/>
      <c r="J540" s="14"/>
    </row>
    <row r="541" spans="1:11" ht="14.1" customHeight="1">
      <c r="B541" s="22"/>
      <c r="E541" s="200"/>
      <c r="F541" s="200"/>
      <c r="G541" s="10"/>
      <c r="H541" s="10"/>
      <c r="I541" s="193"/>
      <c r="J541" s="14"/>
    </row>
    <row r="542" spans="1:11" ht="14.1" customHeight="1">
      <c r="B542" s="22"/>
      <c r="E542" s="202"/>
      <c r="F542" s="202"/>
      <c r="G542" s="10"/>
      <c r="H542" s="10"/>
      <c r="I542" s="193"/>
      <c r="J542" s="14"/>
    </row>
    <row r="543" spans="1:11" ht="14.1" customHeight="1">
      <c r="B543" s="22"/>
      <c r="E543" s="200"/>
      <c r="F543" s="200"/>
      <c r="G543" s="10"/>
      <c r="H543" s="10"/>
      <c r="I543" s="193"/>
      <c r="J543" s="14"/>
    </row>
    <row r="544" spans="1:11" ht="14.1" customHeight="1">
      <c r="B544" s="22"/>
      <c r="E544" s="200"/>
      <c r="F544" s="200"/>
      <c r="G544" s="10"/>
      <c r="H544" s="10"/>
      <c r="I544" s="193"/>
      <c r="J544" s="14"/>
    </row>
    <row r="545" spans="2:10" ht="14.1" customHeight="1">
      <c r="B545" s="22"/>
      <c r="E545" s="200"/>
      <c r="F545" s="200"/>
      <c r="G545" s="10"/>
      <c r="H545" s="10"/>
      <c r="I545" s="193"/>
      <c r="J545" s="14"/>
    </row>
    <row r="546" spans="2:10" ht="14.1" customHeight="1">
      <c r="B546" s="22"/>
      <c r="E546" s="200"/>
      <c r="F546" s="200"/>
      <c r="G546" s="10"/>
      <c r="H546" s="10"/>
      <c r="I546" s="193"/>
      <c r="J546" s="14"/>
    </row>
    <row r="547" spans="2:10" ht="14.1" customHeight="1">
      <c r="B547" s="22"/>
      <c r="E547" s="200"/>
      <c r="F547" s="200"/>
      <c r="G547" s="10"/>
      <c r="H547" s="10"/>
      <c r="I547" s="193"/>
      <c r="J547" s="14"/>
    </row>
    <row r="548" spans="2:10" ht="14.1" customHeight="1">
      <c r="B548" s="22"/>
      <c r="E548" s="200"/>
      <c r="F548" s="200"/>
      <c r="G548" s="10"/>
      <c r="H548" s="10"/>
      <c r="I548" s="193"/>
      <c r="J548" s="14"/>
    </row>
    <row r="549" spans="2:10" ht="14.1" customHeight="1">
      <c r="B549" s="22"/>
      <c r="E549" s="200"/>
      <c r="F549" s="200"/>
      <c r="G549" s="10"/>
      <c r="H549" s="10"/>
      <c r="I549" s="193"/>
      <c r="J549" s="14"/>
    </row>
    <row r="550" spans="2:10" ht="14.1" customHeight="1">
      <c r="B550" s="22"/>
      <c r="E550" s="200"/>
      <c r="F550" s="200"/>
      <c r="G550" s="10"/>
      <c r="H550" s="10"/>
      <c r="I550" s="193"/>
      <c r="J550" s="14"/>
    </row>
    <row r="551" spans="2:10" ht="14.1" customHeight="1">
      <c r="B551" s="22"/>
      <c r="E551" s="200"/>
      <c r="F551" s="200"/>
      <c r="G551" s="10"/>
      <c r="H551" s="10"/>
      <c r="I551" s="193"/>
      <c r="J551" s="14"/>
    </row>
    <row r="552" spans="2:10" ht="14.1" customHeight="1">
      <c r="B552" s="22"/>
      <c r="E552" s="200"/>
      <c r="F552" s="200"/>
      <c r="G552" s="10"/>
      <c r="H552" s="10"/>
      <c r="I552" s="193"/>
      <c r="J552" s="14"/>
    </row>
    <row r="553" spans="2:10" ht="14.1" customHeight="1">
      <c r="B553" s="22"/>
      <c r="E553" s="200"/>
      <c r="F553" s="200"/>
      <c r="G553" s="10"/>
      <c r="H553" s="10"/>
      <c r="I553" s="193"/>
      <c r="J553" s="14"/>
    </row>
    <row r="554" spans="2:10" ht="14.1" customHeight="1">
      <c r="B554" s="22"/>
      <c r="E554" s="200"/>
      <c r="F554" s="200"/>
      <c r="G554" s="10"/>
      <c r="H554" s="10"/>
      <c r="I554" s="193"/>
      <c r="J554" s="14"/>
    </row>
    <row r="555" spans="2:10" ht="14.1" customHeight="1">
      <c r="B555" s="22"/>
      <c r="E555" s="200"/>
      <c r="F555" s="200"/>
      <c r="G555" s="10"/>
      <c r="H555" s="10"/>
      <c r="I555" s="193"/>
      <c r="J555" s="14"/>
    </row>
    <row r="556" spans="2:10" ht="14.1" customHeight="1">
      <c r="B556" s="22"/>
      <c r="E556" s="200"/>
      <c r="F556" s="200"/>
      <c r="G556" s="10"/>
      <c r="H556" s="10"/>
      <c r="I556" s="193"/>
      <c r="J556" s="14"/>
    </row>
    <row r="557" spans="2:10" ht="14.1" customHeight="1">
      <c r="B557" s="22"/>
      <c r="E557" s="200"/>
      <c r="F557" s="200"/>
      <c r="G557" s="10"/>
      <c r="H557" s="10"/>
      <c r="I557" s="193"/>
      <c r="J557" s="14"/>
    </row>
    <row r="558" spans="2:10" ht="14.1" customHeight="1">
      <c r="B558" s="22"/>
      <c r="E558" s="200"/>
      <c r="F558" s="200"/>
      <c r="G558" s="10"/>
      <c r="H558" s="10"/>
      <c r="I558" s="193"/>
      <c r="J558" s="14"/>
    </row>
    <row r="559" spans="2:10" ht="14.1" customHeight="1">
      <c r="B559" s="22"/>
      <c r="E559" s="200"/>
      <c r="F559" s="200"/>
      <c r="G559" s="10"/>
      <c r="H559" s="10"/>
      <c r="I559" s="193"/>
      <c r="J559" s="14"/>
    </row>
    <row r="560" spans="2:10" ht="14.1" customHeight="1">
      <c r="B560" s="22"/>
      <c r="E560" s="200"/>
      <c r="F560" s="200"/>
      <c r="G560" s="10"/>
      <c r="H560" s="10"/>
      <c r="I560" s="193"/>
      <c r="J560" s="14"/>
    </row>
    <row r="561" spans="2:10" ht="14.1" customHeight="1">
      <c r="B561" s="22"/>
      <c r="E561" s="200"/>
      <c r="F561" s="200"/>
      <c r="G561" s="10"/>
      <c r="H561" s="10"/>
      <c r="I561" s="193"/>
      <c r="J561" s="14"/>
    </row>
    <row r="562" spans="2:10" ht="14.1" customHeight="1">
      <c r="B562" s="22"/>
      <c r="E562" s="200"/>
      <c r="F562" s="200"/>
      <c r="G562" s="10"/>
      <c r="H562" s="10"/>
      <c r="I562" s="193"/>
      <c r="J562" s="14"/>
    </row>
    <row r="563" spans="2:10" ht="14.1" customHeight="1">
      <c r="B563" s="22"/>
      <c r="E563" s="200"/>
      <c r="F563" s="200"/>
      <c r="G563" s="10"/>
      <c r="H563" s="10"/>
      <c r="I563" s="193"/>
      <c r="J563" s="14"/>
    </row>
    <row r="564" spans="2:10" ht="14.1" customHeight="1">
      <c r="B564" s="22"/>
      <c r="E564" s="200"/>
      <c r="F564" s="200"/>
      <c r="G564" s="10"/>
      <c r="H564" s="10"/>
      <c r="I564" s="193"/>
      <c r="J564" s="14"/>
    </row>
    <row r="565" spans="2:10" ht="14.1" customHeight="1">
      <c r="B565" s="22"/>
      <c r="E565" s="200"/>
      <c r="F565" s="200"/>
      <c r="G565" s="10"/>
      <c r="H565" s="10"/>
      <c r="I565" s="193"/>
      <c r="J565" s="14"/>
    </row>
    <row r="566" spans="2:10" ht="14.1" customHeight="1">
      <c r="B566" s="22"/>
      <c r="E566" s="200"/>
      <c r="F566" s="200"/>
      <c r="G566" s="10"/>
      <c r="H566" s="10"/>
      <c r="I566" s="193"/>
      <c r="J566" s="14"/>
    </row>
    <row r="567" spans="2:10" ht="14.1" customHeight="1">
      <c r="B567" s="22"/>
      <c r="E567" s="200"/>
      <c r="F567" s="200"/>
      <c r="G567" s="10"/>
      <c r="H567" s="10"/>
      <c r="I567" s="193"/>
      <c r="J567" s="14"/>
    </row>
    <row r="568" spans="2:10" ht="14.1" customHeight="1">
      <c r="B568" s="22"/>
      <c r="E568" s="200"/>
      <c r="F568" s="200"/>
      <c r="G568" s="10"/>
      <c r="H568" s="10"/>
      <c r="I568" s="193"/>
      <c r="J568" s="14"/>
    </row>
    <row r="569" spans="2:10" ht="14.1" customHeight="1">
      <c r="B569" s="22"/>
      <c r="E569" s="200"/>
      <c r="F569" s="200"/>
      <c r="G569" s="10"/>
      <c r="H569" s="10"/>
      <c r="I569" s="193"/>
      <c r="J569" s="14"/>
    </row>
    <row r="570" spans="2:10" ht="14.1" customHeight="1">
      <c r="B570" s="22"/>
      <c r="E570" s="200"/>
      <c r="F570" s="200"/>
      <c r="G570" s="10"/>
      <c r="H570" s="10"/>
      <c r="I570" s="193"/>
      <c r="J570" s="14"/>
    </row>
    <row r="571" spans="2:10" ht="14.1" customHeight="1">
      <c r="B571" s="22"/>
      <c r="E571" s="200"/>
      <c r="F571" s="200"/>
      <c r="G571" s="10"/>
      <c r="H571" s="10"/>
      <c r="I571" s="193"/>
      <c r="J571" s="14"/>
    </row>
    <row r="572" spans="2:10" ht="14.1" customHeight="1">
      <c r="B572" s="22"/>
      <c r="E572" s="200"/>
      <c r="F572" s="200"/>
      <c r="G572" s="10"/>
      <c r="H572" s="10"/>
      <c r="I572" s="193"/>
      <c r="J572" s="14"/>
    </row>
    <row r="573" spans="2:10" ht="14.1" customHeight="1">
      <c r="B573" s="22"/>
      <c r="E573" s="200"/>
      <c r="F573" s="200"/>
      <c r="G573" s="10"/>
      <c r="H573" s="10"/>
      <c r="I573" s="193"/>
      <c r="J573" s="14"/>
    </row>
    <row r="574" spans="2:10" ht="14.1" customHeight="1">
      <c r="B574" s="22"/>
      <c r="E574" s="200"/>
      <c r="F574" s="200"/>
      <c r="G574" s="10"/>
      <c r="H574" s="10"/>
      <c r="I574" s="193"/>
      <c r="J574" s="14"/>
    </row>
    <row r="575" spans="2:10" ht="14.1" customHeight="1">
      <c r="B575" s="22"/>
      <c r="E575" s="200"/>
      <c r="F575" s="200"/>
      <c r="G575" s="10"/>
      <c r="H575" s="10"/>
      <c r="I575" s="193"/>
      <c r="J575" s="14"/>
    </row>
    <row r="576" spans="2:10" ht="14.1" customHeight="1">
      <c r="B576" s="22"/>
      <c r="E576" s="200"/>
      <c r="F576" s="200"/>
      <c r="G576" s="10"/>
      <c r="H576" s="10"/>
      <c r="I576" s="193"/>
      <c r="J576" s="14"/>
    </row>
    <row r="577" spans="2:10" ht="14.1" customHeight="1">
      <c r="B577" s="22"/>
      <c r="E577" s="200"/>
      <c r="F577" s="200"/>
      <c r="G577" s="10"/>
      <c r="H577" s="10"/>
      <c r="I577" s="193"/>
      <c r="J577" s="14"/>
    </row>
    <row r="578" spans="2:10" ht="14.1" customHeight="1">
      <c r="B578" s="22"/>
      <c r="E578" s="200"/>
      <c r="F578" s="200"/>
      <c r="G578" s="10"/>
      <c r="H578" s="10"/>
      <c r="I578" s="193"/>
      <c r="J578" s="14"/>
    </row>
    <row r="579" spans="2:10" ht="14.1" customHeight="1">
      <c r="B579" s="22"/>
      <c r="E579" s="200"/>
      <c r="F579" s="200"/>
      <c r="G579" s="10"/>
      <c r="H579" s="10"/>
      <c r="I579" s="193"/>
      <c r="J579" s="14"/>
    </row>
    <row r="580" spans="2:10" ht="14.1" customHeight="1">
      <c r="B580" s="22"/>
      <c r="E580" s="200"/>
      <c r="F580" s="200"/>
      <c r="G580" s="10"/>
      <c r="H580" s="10"/>
      <c r="I580" s="193"/>
      <c r="J580" s="14"/>
    </row>
    <row r="581" spans="2:10" ht="14.1" customHeight="1">
      <c r="B581" s="22"/>
      <c r="E581" s="200"/>
      <c r="F581" s="200"/>
      <c r="G581" s="10"/>
      <c r="H581" s="10"/>
      <c r="I581" s="193"/>
      <c r="J581" s="14"/>
    </row>
    <row r="582" spans="2:10" ht="14.1" customHeight="1">
      <c r="B582" s="22"/>
      <c r="E582" s="200"/>
      <c r="F582" s="200"/>
      <c r="G582" s="10"/>
      <c r="H582" s="10"/>
      <c r="I582" s="193"/>
      <c r="J582" s="14"/>
    </row>
    <row r="583" spans="2:10" ht="14.1" customHeight="1">
      <c r="B583" s="22"/>
      <c r="E583" s="200"/>
      <c r="F583" s="200"/>
      <c r="G583" s="10"/>
      <c r="H583" s="10"/>
      <c r="I583" s="193"/>
      <c r="J583" s="14"/>
    </row>
    <row r="584" spans="2:10" ht="14.1" customHeight="1">
      <c r="B584" s="22"/>
      <c r="E584" s="200"/>
      <c r="F584" s="200"/>
      <c r="G584" s="10"/>
      <c r="H584" s="10"/>
      <c r="I584" s="193"/>
      <c r="J584" s="14"/>
    </row>
    <row r="585" spans="2:10" ht="14.1" customHeight="1">
      <c r="B585" s="22"/>
      <c r="E585" s="200"/>
      <c r="F585" s="200"/>
      <c r="G585" s="10"/>
      <c r="H585" s="10"/>
      <c r="I585" s="193"/>
      <c r="J585" s="14"/>
    </row>
    <row r="586" spans="2:10" ht="14.1" customHeight="1">
      <c r="B586" s="22"/>
      <c r="E586" s="200"/>
      <c r="F586" s="200"/>
      <c r="G586" s="10"/>
      <c r="H586" s="10"/>
      <c r="I586" s="193"/>
      <c r="J586" s="14"/>
    </row>
    <row r="587" spans="2:10" ht="14.1" customHeight="1">
      <c r="B587" s="22"/>
      <c r="E587" s="200"/>
      <c r="F587" s="200"/>
      <c r="G587" s="10"/>
      <c r="H587" s="10"/>
      <c r="I587" s="193"/>
      <c r="J587" s="14"/>
    </row>
    <row r="588" spans="2:10" ht="14.1" customHeight="1">
      <c r="B588" s="22"/>
      <c r="E588" s="200"/>
      <c r="F588" s="200"/>
      <c r="G588" s="10"/>
      <c r="H588" s="10"/>
      <c r="I588" s="193"/>
      <c r="J588" s="14"/>
    </row>
    <row r="589" spans="2:10" ht="14.1" customHeight="1">
      <c r="B589" s="22"/>
      <c r="E589" s="200"/>
      <c r="F589" s="200"/>
      <c r="G589" s="10"/>
      <c r="H589" s="10"/>
      <c r="I589" s="193"/>
      <c r="J589" s="14"/>
    </row>
    <row r="590" spans="2:10" ht="14.1" customHeight="1">
      <c r="B590" s="22"/>
      <c r="E590" s="200"/>
      <c r="F590" s="200"/>
      <c r="G590" s="10"/>
      <c r="H590" s="10"/>
      <c r="I590" s="193"/>
      <c r="J590" s="14"/>
    </row>
    <row r="591" spans="2:10" ht="14.1" customHeight="1">
      <c r="B591" s="22"/>
      <c r="E591" s="200"/>
      <c r="F591" s="200"/>
      <c r="G591" s="203"/>
      <c r="H591" s="203"/>
      <c r="I591" s="200"/>
      <c r="J591" s="193"/>
    </row>
    <row r="592" spans="2:10" ht="14.1" customHeight="1">
      <c r="B592" s="22"/>
      <c r="E592" s="200"/>
      <c r="F592" s="200"/>
      <c r="G592" s="203"/>
      <c r="H592" s="203"/>
      <c r="I592" s="200"/>
      <c r="J592" s="193"/>
    </row>
    <row r="593" spans="2:10" ht="14.1" customHeight="1">
      <c r="B593" s="22"/>
      <c r="E593" s="200"/>
      <c r="F593" s="200"/>
      <c r="G593" s="203"/>
      <c r="H593" s="203"/>
      <c r="I593" s="200"/>
      <c r="J593" s="193"/>
    </row>
    <row r="594" spans="2:10" ht="14.1" customHeight="1">
      <c r="B594" s="22"/>
      <c r="E594" s="200"/>
      <c r="F594" s="200"/>
      <c r="G594" s="203"/>
      <c r="H594" s="203"/>
      <c r="I594" s="200"/>
      <c r="J594" s="193"/>
    </row>
    <row r="595" spans="2:10" ht="14.1" customHeight="1">
      <c r="B595" s="22"/>
      <c r="E595" s="200"/>
      <c r="F595" s="200"/>
      <c r="G595" s="203"/>
      <c r="H595" s="203"/>
      <c r="I595" s="200"/>
      <c r="J595" s="193"/>
    </row>
    <row r="596" spans="2:10" ht="14.1" customHeight="1">
      <c r="B596" s="22"/>
      <c r="E596" s="200"/>
      <c r="F596" s="200"/>
      <c r="G596" s="203"/>
      <c r="H596" s="203"/>
      <c r="I596" s="200"/>
      <c r="J596" s="193"/>
    </row>
    <row r="597" spans="2:10" ht="14.1" customHeight="1">
      <c r="B597" s="22"/>
      <c r="E597" s="200"/>
      <c r="F597" s="200"/>
      <c r="G597" s="203"/>
      <c r="H597" s="203"/>
      <c r="I597" s="200"/>
      <c r="J597" s="193"/>
    </row>
    <row r="598" spans="2:10" ht="14.1" customHeight="1">
      <c r="B598" s="22"/>
      <c r="E598" s="200"/>
      <c r="F598" s="200"/>
      <c r="G598" s="203"/>
      <c r="H598" s="203"/>
      <c r="I598" s="200"/>
      <c r="J598" s="193"/>
    </row>
    <row r="599" spans="2:10" ht="14.1" customHeight="1">
      <c r="B599" s="22"/>
      <c r="E599" s="200"/>
      <c r="F599" s="200"/>
      <c r="G599" s="203"/>
      <c r="H599" s="203"/>
      <c r="I599" s="200"/>
      <c r="J599" s="193"/>
    </row>
    <row r="600" spans="2:10" ht="14.1" customHeight="1">
      <c r="B600" s="22"/>
      <c r="E600" s="200"/>
      <c r="F600" s="200"/>
      <c r="G600" s="203"/>
      <c r="H600" s="203"/>
      <c r="I600" s="200"/>
      <c r="J600" s="193"/>
    </row>
    <row r="601" spans="2:10" ht="14.1" customHeight="1">
      <c r="B601" s="22"/>
      <c r="E601" s="200"/>
      <c r="F601" s="200"/>
      <c r="G601" s="203"/>
      <c r="H601" s="203"/>
      <c r="I601" s="200"/>
      <c r="J601" s="193"/>
    </row>
    <row r="602" spans="2:10" ht="14.1" customHeight="1">
      <c r="B602" s="22"/>
      <c r="E602" s="200"/>
      <c r="F602" s="200"/>
      <c r="G602" s="203"/>
      <c r="H602" s="203"/>
      <c r="I602" s="200"/>
      <c r="J602" s="193"/>
    </row>
    <row r="603" spans="2:10" ht="14.1" customHeight="1">
      <c r="B603" s="22"/>
      <c r="E603" s="200"/>
      <c r="F603" s="200"/>
      <c r="G603" s="203"/>
      <c r="H603" s="203"/>
      <c r="I603" s="200"/>
      <c r="J603" s="193"/>
    </row>
    <row r="604" spans="2:10" ht="14.1" customHeight="1">
      <c r="B604" s="22"/>
      <c r="E604" s="200"/>
      <c r="F604" s="200"/>
      <c r="G604" s="203"/>
      <c r="H604" s="203"/>
      <c r="I604" s="200"/>
      <c r="J604" s="193"/>
    </row>
    <row r="605" spans="2:10" ht="14.1" customHeight="1">
      <c r="B605" s="22"/>
      <c r="E605" s="200"/>
      <c r="F605" s="200"/>
      <c r="G605" s="203"/>
      <c r="H605" s="203"/>
      <c r="I605" s="200"/>
      <c r="J605" s="193"/>
    </row>
    <row r="606" spans="2:10" ht="14.1" customHeight="1">
      <c r="B606" s="22"/>
      <c r="E606" s="200"/>
      <c r="F606" s="200"/>
      <c r="G606" s="203"/>
      <c r="H606" s="203"/>
      <c r="I606" s="200"/>
      <c r="J606" s="193"/>
    </row>
    <row r="607" spans="2:10" ht="14.1" customHeight="1">
      <c r="B607" s="22"/>
      <c r="E607" s="200"/>
      <c r="F607" s="200"/>
      <c r="G607" s="203"/>
      <c r="H607" s="203"/>
      <c r="I607" s="200"/>
      <c r="J607" s="193"/>
    </row>
    <row r="608" spans="2:10" ht="14.1" customHeight="1">
      <c r="B608" s="22"/>
      <c r="E608" s="200"/>
      <c r="F608" s="200"/>
      <c r="G608" s="203"/>
      <c r="H608" s="203"/>
      <c r="I608" s="200"/>
      <c r="J608" s="193"/>
    </row>
    <row r="609" spans="2:10" ht="14.1" customHeight="1">
      <c r="B609" s="22"/>
      <c r="E609" s="200"/>
      <c r="F609" s="200"/>
      <c r="G609" s="203"/>
      <c r="H609" s="203"/>
      <c r="I609" s="200"/>
      <c r="J609" s="193"/>
    </row>
    <row r="610" spans="2:10" ht="14.1" customHeight="1">
      <c r="B610" s="22"/>
      <c r="E610" s="200"/>
      <c r="F610" s="200"/>
      <c r="G610" s="203"/>
      <c r="H610" s="203"/>
      <c r="I610" s="200"/>
      <c r="J610" s="193"/>
    </row>
    <row r="611" spans="2:10" ht="14.1" customHeight="1">
      <c r="B611" s="22"/>
      <c r="E611" s="200"/>
      <c r="F611" s="200"/>
      <c r="G611" s="203"/>
      <c r="H611" s="203"/>
      <c r="I611" s="200"/>
      <c r="J611" s="193"/>
    </row>
    <row r="612" spans="2:10" ht="14.1" customHeight="1">
      <c r="B612" s="22"/>
      <c r="E612" s="200"/>
      <c r="F612" s="200"/>
      <c r="G612" s="203"/>
      <c r="H612" s="203"/>
      <c r="I612" s="200"/>
      <c r="J612" s="193"/>
    </row>
    <row r="613" spans="2:10" ht="14.1" customHeight="1">
      <c r="B613" s="22"/>
      <c r="E613" s="200"/>
      <c r="F613" s="200"/>
      <c r="G613" s="203"/>
      <c r="H613" s="203"/>
      <c r="I613" s="200"/>
      <c r="J613" s="193"/>
    </row>
    <row r="614" spans="2:10" ht="14.1" customHeight="1">
      <c r="B614" s="22"/>
      <c r="E614" s="200"/>
      <c r="F614" s="200"/>
      <c r="G614" s="203"/>
      <c r="H614" s="203"/>
      <c r="I614" s="200"/>
      <c r="J614" s="193"/>
    </row>
    <row r="615" spans="2:10" ht="14.1" customHeight="1">
      <c r="B615" s="22"/>
      <c r="E615" s="200"/>
      <c r="F615" s="200"/>
      <c r="G615" s="203"/>
      <c r="H615" s="203"/>
      <c r="I615" s="200"/>
      <c r="J615" s="193"/>
    </row>
    <row r="616" spans="2:10" ht="14.1" customHeight="1">
      <c r="B616" s="22"/>
      <c r="E616" s="200"/>
      <c r="F616" s="200"/>
      <c r="G616" s="203"/>
      <c r="H616" s="203"/>
      <c r="I616" s="200"/>
      <c r="J616" s="204"/>
    </row>
    <row r="617" spans="2:10" ht="14.1" customHeight="1">
      <c r="B617" s="22"/>
      <c r="E617" s="200"/>
      <c r="F617" s="200"/>
      <c r="G617" s="203"/>
      <c r="H617" s="203"/>
      <c r="I617" s="200"/>
      <c r="J617" s="204"/>
    </row>
    <row r="618" spans="2:10" ht="14.1" customHeight="1">
      <c r="B618" s="22"/>
      <c r="E618" s="200"/>
      <c r="F618" s="200"/>
      <c r="G618" s="203"/>
      <c r="H618" s="203"/>
      <c r="I618" s="200"/>
      <c r="J618" s="204"/>
    </row>
    <row r="619" spans="2:10" ht="14.1" customHeight="1">
      <c r="B619" s="22"/>
      <c r="E619" s="200"/>
      <c r="F619" s="200"/>
      <c r="G619" s="203"/>
      <c r="H619" s="203"/>
      <c r="I619" s="200"/>
      <c r="J619" s="204"/>
    </row>
    <row r="620" spans="2:10" ht="14.1" customHeight="1">
      <c r="B620" s="22"/>
      <c r="E620" s="200"/>
      <c r="F620" s="200"/>
      <c r="G620" s="203"/>
      <c r="H620" s="203"/>
      <c r="I620" s="200"/>
      <c r="J620" s="204"/>
    </row>
    <row r="621" spans="2:10" ht="14.1" customHeight="1">
      <c r="B621" s="22"/>
      <c r="E621" s="200"/>
      <c r="F621" s="200"/>
      <c r="G621" s="203"/>
      <c r="H621" s="203"/>
      <c r="I621" s="200"/>
      <c r="J621" s="204"/>
    </row>
    <row r="622" spans="2:10" ht="14.1" customHeight="1">
      <c r="B622" s="22"/>
      <c r="E622" s="200"/>
      <c r="F622" s="200"/>
      <c r="G622" s="203"/>
      <c r="H622" s="203"/>
      <c r="I622" s="200"/>
      <c r="J622" s="204"/>
    </row>
    <row r="623" spans="2:10" ht="14.1" customHeight="1">
      <c r="B623" s="22"/>
      <c r="E623" s="200"/>
      <c r="F623" s="200"/>
      <c r="G623" s="203"/>
      <c r="H623" s="203"/>
      <c r="I623" s="200"/>
      <c r="J623" s="204"/>
    </row>
    <row r="624" spans="2:10" ht="14.1" customHeight="1">
      <c r="B624" s="22"/>
      <c r="E624" s="200"/>
      <c r="F624" s="200"/>
      <c r="G624" s="203"/>
      <c r="H624" s="203"/>
      <c r="I624" s="200"/>
      <c r="J624" s="204"/>
    </row>
    <row r="625" spans="2:10" ht="14.1" customHeight="1">
      <c r="B625" s="22"/>
      <c r="E625" s="200"/>
      <c r="F625" s="200"/>
      <c r="G625" s="203"/>
      <c r="H625" s="203"/>
      <c r="I625" s="200"/>
      <c r="J625" s="204"/>
    </row>
    <row r="626" spans="2:10" ht="14.1" customHeight="1">
      <c r="B626" s="22"/>
      <c r="E626" s="200"/>
      <c r="F626" s="200"/>
      <c r="G626" s="203"/>
      <c r="H626" s="203"/>
      <c r="I626" s="200"/>
      <c r="J626" s="204"/>
    </row>
    <row r="627" spans="2:10" ht="14.1" customHeight="1">
      <c r="B627" s="22"/>
      <c r="E627" s="200"/>
      <c r="F627" s="200"/>
      <c r="G627" s="203"/>
      <c r="H627" s="203"/>
      <c r="I627" s="200"/>
      <c r="J627" s="204"/>
    </row>
    <row r="628" spans="2:10" ht="14.1" customHeight="1">
      <c r="B628" s="22"/>
      <c r="E628" s="200"/>
      <c r="F628" s="200"/>
      <c r="G628" s="203"/>
      <c r="H628" s="203"/>
      <c r="I628" s="200"/>
      <c r="J628" s="204"/>
    </row>
    <row r="629" spans="2:10" ht="14.1" customHeight="1">
      <c r="B629" s="22"/>
      <c r="E629" s="200"/>
      <c r="F629" s="200"/>
      <c r="G629" s="203"/>
      <c r="H629" s="203"/>
      <c r="I629" s="200"/>
      <c r="J629" s="204"/>
    </row>
    <row r="630" spans="2:10" ht="14.1" customHeight="1">
      <c r="B630" s="22"/>
      <c r="E630" s="200"/>
      <c r="F630" s="200"/>
      <c r="G630" s="203"/>
      <c r="H630" s="203"/>
      <c r="I630" s="200"/>
      <c r="J630" s="204"/>
    </row>
    <row r="631" spans="2:10" ht="14.1" customHeight="1">
      <c r="B631" s="22"/>
      <c r="E631" s="200"/>
      <c r="F631" s="200"/>
      <c r="G631" s="203"/>
      <c r="H631" s="203"/>
      <c r="I631" s="200"/>
      <c r="J631" s="204"/>
    </row>
    <row r="632" spans="2:10" ht="14.1" customHeight="1">
      <c r="B632" s="22"/>
      <c r="E632" s="200"/>
      <c r="F632" s="200"/>
      <c r="G632" s="203"/>
      <c r="H632" s="203"/>
      <c r="I632" s="200"/>
      <c r="J632" s="204"/>
    </row>
    <row r="633" spans="2:10" ht="14.1" customHeight="1">
      <c r="B633" s="22"/>
      <c r="E633" s="200"/>
      <c r="F633" s="200"/>
      <c r="G633" s="203"/>
      <c r="H633" s="203"/>
      <c r="I633" s="200"/>
      <c r="J633" s="204"/>
    </row>
    <row r="634" spans="2:10" ht="14.1" customHeight="1">
      <c r="B634" s="22"/>
      <c r="E634" s="200"/>
      <c r="F634" s="200"/>
      <c r="G634" s="203"/>
      <c r="H634" s="203"/>
      <c r="I634" s="200"/>
      <c r="J634" s="204"/>
    </row>
    <row r="635" spans="2:10" ht="14.1" customHeight="1">
      <c r="B635" s="22"/>
      <c r="E635" s="200"/>
      <c r="F635" s="200"/>
      <c r="G635" s="203"/>
      <c r="H635" s="203"/>
      <c r="I635" s="200"/>
      <c r="J635" s="204"/>
    </row>
    <row r="636" spans="2:10" ht="14.1" customHeight="1">
      <c r="B636" s="22"/>
      <c r="E636" s="200"/>
      <c r="F636" s="200"/>
      <c r="G636" s="203"/>
      <c r="H636" s="203"/>
      <c r="I636" s="200"/>
      <c r="J636" s="204"/>
    </row>
    <row r="637" spans="2:10" ht="14.1" customHeight="1">
      <c r="B637" s="22"/>
      <c r="E637" s="200"/>
      <c r="F637" s="200"/>
      <c r="G637" s="203"/>
      <c r="H637" s="203"/>
      <c r="I637" s="200"/>
      <c r="J637" s="204"/>
    </row>
    <row r="638" spans="2:10" ht="14.1" customHeight="1">
      <c r="B638" s="22"/>
      <c r="E638" s="200"/>
      <c r="F638" s="200"/>
      <c r="G638" s="203"/>
      <c r="H638" s="203"/>
      <c r="I638" s="200"/>
      <c r="J638" s="204"/>
    </row>
    <row r="639" spans="2:10" ht="14.1" customHeight="1">
      <c r="B639" s="22"/>
      <c r="E639" s="200"/>
      <c r="F639" s="200"/>
      <c r="G639" s="203"/>
      <c r="H639" s="203"/>
      <c r="I639" s="200"/>
      <c r="J639" s="204"/>
    </row>
    <row r="640" spans="2:10" ht="14.1" customHeight="1">
      <c r="B640" s="22"/>
      <c r="E640" s="200"/>
      <c r="F640" s="200"/>
      <c r="G640" s="203"/>
      <c r="H640" s="203"/>
      <c r="I640" s="200"/>
      <c r="J640" s="204"/>
    </row>
    <row r="641" spans="2:10" ht="14.1" customHeight="1">
      <c r="B641" s="22"/>
      <c r="E641" s="200"/>
      <c r="F641" s="200"/>
      <c r="G641" s="203"/>
      <c r="H641" s="203"/>
      <c r="I641" s="200"/>
      <c r="J641" s="204"/>
    </row>
    <row r="642" spans="2:10" ht="14.1" customHeight="1">
      <c r="B642" s="22"/>
      <c r="E642" s="200"/>
      <c r="F642" s="200"/>
      <c r="G642" s="203"/>
      <c r="H642" s="203"/>
      <c r="I642" s="200"/>
      <c r="J642" s="204"/>
    </row>
    <row r="643" spans="2:10" ht="14.1" customHeight="1">
      <c r="B643" s="22"/>
      <c r="E643" s="200"/>
      <c r="F643" s="200"/>
      <c r="G643" s="203"/>
      <c r="H643" s="203"/>
      <c r="I643" s="200"/>
      <c r="J643" s="204"/>
    </row>
    <row r="644" spans="2:10" ht="14.1" customHeight="1">
      <c r="B644" s="22"/>
      <c r="E644" s="200"/>
      <c r="F644" s="200"/>
      <c r="G644" s="203"/>
      <c r="H644" s="203"/>
      <c r="I644" s="200"/>
      <c r="J644" s="204"/>
    </row>
    <row r="645" spans="2:10" ht="14.1" customHeight="1">
      <c r="E645" s="200"/>
      <c r="F645" s="200"/>
      <c r="G645" s="203"/>
      <c r="H645" s="203"/>
      <c r="I645" s="200"/>
      <c r="J645" s="204"/>
    </row>
    <row r="646" spans="2:10" ht="14.1" customHeight="1">
      <c r="E646" s="200"/>
      <c r="F646" s="200"/>
      <c r="G646" s="203"/>
      <c r="H646" s="203"/>
      <c r="I646" s="200"/>
      <c r="J646" s="204"/>
    </row>
    <row r="647" spans="2:10" ht="14.1" customHeight="1">
      <c r="E647" s="200"/>
      <c r="F647" s="200"/>
      <c r="G647" s="203"/>
      <c r="H647" s="203"/>
      <c r="I647" s="200"/>
      <c r="J647" s="204"/>
    </row>
    <row r="648" spans="2:10" ht="14.1" customHeight="1">
      <c r="E648" s="200"/>
      <c r="F648" s="200"/>
      <c r="G648" s="203"/>
      <c r="H648" s="203"/>
      <c r="I648" s="200"/>
      <c r="J648" s="200"/>
    </row>
    <row r="649" spans="2:10" ht="14.1" customHeight="1">
      <c r="E649" s="200"/>
      <c r="F649" s="200"/>
      <c r="G649" s="203"/>
      <c r="H649" s="203"/>
      <c r="I649" s="200"/>
      <c r="J649" s="200"/>
    </row>
    <row r="650" spans="2:10" ht="14.1" customHeight="1">
      <c r="E650" s="200"/>
      <c r="F650" s="200"/>
      <c r="G650" s="203"/>
      <c r="H650" s="203"/>
      <c r="I650" s="200"/>
      <c r="J650" s="200"/>
    </row>
    <row r="651" spans="2:10" ht="14.1" customHeight="1">
      <c r="E651" s="200"/>
      <c r="F651" s="200"/>
      <c r="G651" s="203"/>
      <c r="H651" s="203"/>
      <c r="I651" s="200"/>
      <c r="J651" s="200"/>
    </row>
    <row r="652" spans="2:10" ht="14.1" customHeight="1">
      <c r="E652" s="200"/>
      <c r="F652" s="200"/>
      <c r="G652" s="203"/>
      <c r="H652" s="203"/>
      <c r="I652" s="200"/>
      <c r="J652" s="200"/>
    </row>
    <row r="653" spans="2:10" ht="14.1" customHeight="1">
      <c r="E653" s="200"/>
      <c r="F653" s="200"/>
      <c r="G653" s="203"/>
      <c r="H653" s="203"/>
      <c r="I653" s="200"/>
      <c r="J653" s="200"/>
    </row>
    <row r="654" spans="2:10" ht="14.1" customHeight="1">
      <c r="E654" s="200"/>
      <c r="F654" s="200"/>
      <c r="G654" s="203"/>
      <c r="H654" s="203"/>
      <c r="I654" s="200"/>
      <c r="J654" s="200"/>
    </row>
    <row r="655" spans="2:10" ht="14.1" customHeight="1">
      <c r="E655" s="200"/>
      <c r="F655" s="200"/>
      <c r="G655" s="203"/>
      <c r="H655" s="203"/>
      <c r="I655" s="200"/>
      <c r="J655" s="200"/>
    </row>
    <row r="656" spans="2:10" ht="14.1" customHeight="1">
      <c r="E656" s="200"/>
      <c r="F656" s="200"/>
      <c r="G656" s="203"/>
      <c r="H656" s="203"/>
      <c r="I656" s="200"/>
      <c r="J656" s="200"/>
    </row>
    <row r="657" spans="5:10" ht="14.1" customHeight="1">
      <c r="E657" s="200"/>
      <c r="F657" s="200"/>
      <c r="G657" s="203"/>
      <c r="H657" s="203"/>
      <c r="I657" s="200"/>
      <c r="J657" s="200"/>
    </row>
    <row r="658" spans="5:10" ht="14.1" customHeight="1">
      <c r="E658" s="200"/>
      <c r="F658" s="200"/>
      <c r="G658" s="203"/>
      <c r="H658" s="203"/>
      <c r="I658" s="200"/>
      <c r="J658" s="200"/>
    </row>
    <row r="659" spans="5:10" ht="14.1" customHeight="1">
      <c r="E659" s="200"/>
      <c r="F659" s="200"/>
      <c r="G659" s="203"/>
      <c r="H659" s="203"/>
      <c r="I659" s="200"/>
      <c r="J659" s="200"/>
    </row>
    <row r="660" spans="5:10" ht="14.1" customHeight="1">
      <c r="E660" s="200"/>
      <c r="F660" s="200"/>
      <c r="G660" s="203"/>
      <c r="H660" s="203"/>
      <c r="I660" s="200"/>
      <c r="J660" s="200"/>
    </row>
    <row r="661" spans="5:10" ht="14.1" customHeight="1">
      <c r="E661" s="200"/>
      <c r="F661" s="200"/>
      <c r="G661" s="203"/>
      <c r="H661" s="203"/>
      <c r="I661" s="200"/>
      <c r="J661" s="200"/>
    </row>
    <row r="662" spans="5:10" ht="14.1" customHeight="1">
      <c r="E662" s="200"/>
      <c r="F662" s="200"/>
      <c r="G662" s="203"/>
      <c r="H662" s="203"/>
      <c r="I662" s="200"/>
      <c r="J662" s="200"/>
    </row>
    <row r="663" spans="5:10" ht="14.1" customHeight="1">
      <c r="E663" s="200"/>
      <c r="F663" s="200"/>
      <c r="G663" s="203"/>
      <c r="H663" s="203"/>
      <c r="I663" s="200"/>
      <c r="J663" s="200"/>
    </row>
    <row r="664" spans="5:10" ht="14.1" customHeight="1">
      <c r="E664" s="200"/>
      <c r="F664" s="200"/>
      <c r="G664" s="203"/>
      <c r="H664" s="203"/>
      <c r="I664" s="200"/>
      <c r="J664" s="200"/>
    </row>
    <row r="665" spans="5:10" ht="14.1" customHeight="1">
      <c r="E665" s="200"/>
      <c r="F665" s="200"/>
      <c r="G665" s="203"/>
      <c r="H665" s="203"/>
      <c r="I665" s="200"/>
      <c r="J665" s="200"/>
    </row>
    <row r="666" spans="5:10" ht="14.1" customHeight="1">
      <c r="E666" s="200"/>
      <c r="F666" s="200"/>
      <c r="G666" s="203"/>
      <c r="H666" s="203"/>
      <c r="I666" s="200"/>
      <c r="J666" s="200"/>
    </row>
    <row r="667" spans="5:10" ht="14.1" customHeight="1">
      <c r="E667" s="200"/>
      <c r="F667" s="200"/>
      <c r="G667" s="203"/>
      <c r="H667" s="203"/>
      <c r="I667" s="200"/>
      <c r="J667" s="200"/>
    </row>
    <row r="668" spans="5:10" ht="14.1" customHeight="1">
      <c r="E668" s="200"/>
      <c r="F668" s="200"/>
      <c r="G668" s="203"/>
      <c r="H668" s="203"/>
      <c r="I668" s="200"/>
      <c r="J668" s="200"/>
    </row>
    <row r="669" spans="5:10" ht="14.1" customHeight="1">
      <c r="E669" s="200"/>
      <c r="F669" s="200"/>
      <c r="G669" s="203"/>
      <c r="H669" s="203"/>
      <c r="I669" s="200"/>
      <c r="J669" s="200"/>
    </row>
    <row r="670" spans="5:10" ht="14.1" customHeight="1">
      <c r="E670" s="200"/>
      <c r="F670" s="200"/>
      <c r="G670" s="203"/>
      <c r="H670" s="203"/>
      <c r="I670" s="200"/>
      <c r="J670" s="200"/>
    </row>
    <row r="671" spans="5:10" ht="14.1" customHeight="1">
      <c r="E671" s="200"/>
      <c r="F671" s="200"/>
      <c r="G671" s="203"/>
      <c r="H671" s="203"/>
      <c r="I671" s="200"/>
      <c r="J671" s="200"/>
    </row>
    <row r="672" spans="5:10" ht="14.1" customHeight="1">
      <c r="E672" s="200"/>
      <c r="F672" s="200"/>
      <c r="G672" s="203"/>
      <c r="H672" s="203"/>
      <c r="I672" s="200"/>
      <c r="J672" s="200"/>
    </row>
    <row r="673" spans="1:19" ht="14.1" customHeight="1">
      <c r="E673" s="200"/>
      <c r="F673" s="200"/>
      <c r="G673" s="203"/>
      <c r="H673" s="203"/>
      <c r="I673" s="200"/>
      <c r="J673" s="200"/>
    </row>
    <row r="674" spans="1:19" ht="14.1" customHeight="1">
      <c r="E674" s="200"/>
      <c r="F674" s="200"/>
      <c r="G674" s="203"/>
      <c r="H674" s="203"/>
      <c r="I674" s="200"/>
      <c r="J674" s="200"/>
    </row>
    <row r="675" spans="1:19" ht="14.1" customHeight="1">
      <c r="E675" s="200"/>
      <c r="F675" s="200"/>
      <c r="G675" s="203"/>
      <c r="H675" s="203"/>
      <c r="I675" s="200"/>
      <c r="J675" s="200"/>
    </row>
    <row r="676" spans="1:19" ht="14.1" customHeight="1">
      <c r="E676" s="200"/>
      <c r="F676" s="200"/>
      <c r="G676" s="203"/>
      <c r="H676" s="203"/>
      <c r="I676" s="200"/>
      <c r="J676" s="200"/>
    </row>
    <row r="677" spans="1:19" ht="14.1" customHeight="1">
      <c r="E677" s="200"/>
      <c r="F677" s="200"/>
      <c r="G677" s="203"/>
      <c r="H677" s="203"/>
      <c r="I677" s="200"/>
      <c r="J677" s="200"/>
    </row>
    <row r="678" spans="1:19" ht="14.1" customHeight="1">
      <c r="E678" s="200"/>
      <c r="F678" s="200"/>
      <c r="G678" s="203"/>
      <c r="H678" s="203"/>
      <c r="I678" s="200"/>
      <c r="J678" s="200"/>
    </row>
    <row r="679" spans="1:19" ht="14.1" customHeight="1">
      <c r="E679" s="200"/>
      <c r="F679" s="200"/>
      <c r="G679" s="203"/>
      <c r="H679" s="203"/>
      <c r="I679" s="200"/>
      <c r="J679" s="200"/>
    </row>
    <row r="680" spans="1:19" ht="14.1" customHeight="1">
      <c r="E680" s="200"/>
      <c r="F680" s="200"/>
      <c r="G680" s="203"/>
      <c r="H680" s="203"/>
      <c r="I680" s="200"/>
      <c r="J680" s="200"/>
    </row>
    <row r="681" spans="1:19" s="14" customFormat="1" ht="14.1" customHeight="1">
      <c r="A681" s="374"/>
      <c r="B681" s="89"/>
      <c r="C681" s="89"/>
      <c r="D681" s="89"/>
      <c r="E681" s="200"/>
      <c r="F681" s="200"/>
      <c r="G681" s="203"/>
      <c r="H681" s="203"/>
      <c r="J681" s="89"/>
      <c r="K681" s="89"/>
      <c r="L681" s="89"/>
      <c r="M681" s="89"/>
      <c r="N681" s="89"/>
      <c r="O681" s="89"/>
      <c r="P681" s="89"/>
      <c r="Q681" s="89"/>
      <c r="R681" s="89"/>
      <c r="S681" s="89"/>
    </row>
    <row r="682" spans="1:19" s="14" customFormat="1" ht="14.1" customHeight="1">
      <c r="A682" s="374"/>
      <c r="B682" s="89"/>
      <c r="C682" s="89"/>
      <c r="D682" s="89"/>
      <c r="E682" s="200"/>
      <c r="F682" s="200"/>
      <c r="G682" s="203"/>
      <c r="H682" s="203"/>
      <c r="J682" s="89"/>
      <c r="K682" s="89"/>
      <c r="L682" s="89"/>
      <c r="M682" s="89"/>
      <c r="N682" s="89"/>
      <c r="O682" s="89"/>
      <c r="P682" s="89"/>
      <c r="Q682" s="89"/>
      <c r="R682" s="89"/>
      <c r="S682" s="89"/>
    </row>
    <row r="683" spans="1:19" s="14" customFormat="1" ht="14.1" customHeight="1">
      <c r="A683" s="374"/>
      <c r="B683" s="89"/>
      <c r="C683" s="89"/>
      <c r="D683" s="89"/>
      <c r="E683" s="200"/>
      <c r="F683" s="200"/>
      <c r="G683" s="203"/>
      <c r="H683" s="203"/>
      <c r="J683" s="89"/>
      <c r="K683" s="89"/>
      <c r="L683" s="89"/>
      <c r="M683" s="89"/>
      <c r="N683" s="89"/>
      <c r="O683" s="89"/>
      <c r="P683" s="89"/>
      <c r="Q683" s="89"/>
      <c r="R683" s="89"/>
      <c r="S683" s="89"/>
    </row>
    <row r="684" spans="1:19" s="14" customFormat="1" ht="14.1" customHeight="1">
      <c r="A684" s="374"/>
      <c r="B684" s="89"/>
      <c r="C684" s="89"/>
      <c r="D684" s="89"/>
      <c r="E684" s="200"/>
      <c r="F684" s="200"/>
      <c r="G684" s="203"/>
      <c r="H684" s="203"/>
      <c r="J684" s="89"/>
      <c r="K684" s="89"/>
      <c r="L684" s="89"/>
      <c r="M684" s="89"/>
      <c r="N684" s="89"/>
      <c r="O684" s="89"/>
      <c r="P684" s="89"/>
      <c r="Q684" s="89"/>
      <c r="R684" s="89"/>
      <c r="S684" s="89"/>
    </row>
    <row r="685" spans="1:19" s="14" customFormat="1" ht="14.1" customHeight="1">
      <c r="A685" s="374"/>
      <c r="B685" s="89"/>
      <c r="C685" s="89"/>
      <c r="D685" s="89"/>
      <c r="E685" s="200"/>
      <c r="F685" s="200"/>
      <c r="G685" s="203"/>
      <c r="H685" s="203"/>
      <c r="J685" s="89"/>
      <c r="K685" s="89"/>
      <c r="L685" s="89"/>
      <c r="M685" s="89"/>
      <c r="N685" s="89"/>
      <c r="O685" s="89"/>
      <c r="P685" s="89"/>
      <c r="Q685" s="89"/>
      <c r="R685" s="89"/>
      <c r="S685" s="89"/>
    </row>
    <row r="686" spans="1:19" s="14" customFormat="1" ht="14.1" customHeight="1">
      <c r="A686" s="374"/>
      <c r="B686" s="89"/>
      <c r="C686" s="89"/>
      <c r="D686" s="89"/>
      <c r="E686" s="200"/>
      <c r="F686" s="200"/>
      <c r="G686" s="203"/>
      <c r="H686" s="203"/>
      <c r="J686" s="89"/>
      <c r="K686" s="89"/>
      <c r="L686" s="89"/>
      <c r="M686" s="89"/>
      <c r="N686" s="89"/>
      <c r="O686" s="89"/>
      <c r="P686" s="89"/>
      <c r="Q686" s="89"/>
      <c r="R686" s="89"/>
      <c r="S686" s="89"/>
    </row>
    <row r="687" spans="1:19" s="14" customFormat="1" ht="14.1" customHeight="1">
      <c r="A687" s="374"/>
      <c r="B687" s="89"/>
      <c r="C687" s="89"/>
      <c r="D687" s="89"/>
      <c r="E687" s="200"/>
      <c r="F687" s="200"/>
      <c r="G687" s="203"/>
      <c r="H687" s="203"/>
      <c r="J687" s="89"/>
      <c r="K687" s="89"/>
      <c r="L687" s="89"/>
      <c r="M687" s="89"/>
      <c r="N687" s="89"/>
      <c r="O687" s="89"/>
      <c r="P687" s="89"/>
      <c r="Q687" s="89"/>
      <c r="R687" s="89"/>
      <c r="S687" s="89"/>
    </row>
    <row r="688" spans="1:19" s="14" customFormat="1" ht="14.1" customHeight="1">
      <c r="A688" s="374"/>
      <c r="B688" s="89"/>
      <c r="C688" s="89"/>
      <c r="D688" s="89"/>
      <c r="E688" s="200"/>
      <c r="F688" s="200"/>
      <c r="G688" s="203"/>
      <c r="H688" s="203"/>
      <c r="J688" s="89"/>
      <c r="K688" s="89"/>
      <c r="L688" s="89"/>
      <c r="M688" s="89"/>
      <c r="N688" s="89"/>
      <c r="O688" s="89"/>
      <c r="P688" s="89"/>
      <c r="Q688" s="89"/>
      <c r="R688" s="89"/>
      <c r="S688" s="89"/>
    </row>
    <row r="689" spans="1:19" s="14" customFormat="1" ht="14.1" customHeight="1">
      <c r="A689" s="374"/>
      <c r="B689" s="89"/>
      <c r="C689" s="89"/>
      <c r="D689" s="89"/>
      <c r="E689" s="200"/>
      <c r="F689" s="200"/>
      <c r="G689" s="203"/>
      <c r="H689" s="203"/>
      <c r="J689" s="89"/>
      <c r="K689" s="89"/>
      <c r="L689" s="89"/>
      <c r="M689" s="89"/>
      <c r="N689" s="89"/>
      <c r="O689" s="89"/>
      <c r="P689" s="89"/>
      <c r="Q689" s="89"/>
      <c r="R689" s="89"/>
      <c r="S689" s="89"/>
    </row>
    <row r="690" spans="1:19" s="14" customFormat="1" ht="14.1" customHeight="1">
      <c r="A690" s="374"/>
      <c r="B690" s="89"/>
      <c r="C690" s="89"/>
      <c r="D690" s="89"/>
      <c r="E690" s="200"/>
      <c r="F690" s="200"/>
      <c r="G690" s="203"/>
      <c r="H690" s="203"/>
      <c r="J690" s="89"/>
      <c r="K690" s="89"/>
      <c r="L690" s="89"/>
      <c r="M690" s="89"/>
      <c r="N690" s="89"/>
      <c r="O690" s="89"/>
      <c r="P690" s="89"/>
      <c r="Q690" s="89"/>
      <c r="R690" s="89"/>
      <c r="S690" s="89"/>
    </row>
    <row r="691" spans="1:19" s="14" customFormat="1" ht="14.1" customHeight="1">
      <c r="A691" s="374"/>
      <c r="B691" s="89"/>
      <c r="C691" s="89"/>
      <c r="D691" s="89"/>
      <c r="E691" s="200"/>
      <c r="F691" s="200"/>
      <c r="G691" s="203"/>
      <c r="H691" s="203"/>
      <c r="J691" s="89"/>
      <c r="K691" s="89"/>
      <c r="L691" s="89"/>
      <c r="M691" s="89"/>
      <c r="N691" s="89"/>
      <c r="O691" s="89"/>
      <c r="P691" s="89"/>
      <c r="Q691" s="89"/>
      <c r="R691" s="89"/>
      <c r="S691" s="89"/>
    </row>
    <row r="692" spans="1:19" s="14" customFormat="1" ht="14.1" customHeight="1">
      <c r="A692" s="374"/>
      <c r="B692" s="89"/>
      <c r="C692" s="89"/>
      <c r="D692" s="89"/>
      <c r="E692" s="200"/>
      <c r="F692" s="200"/>
      <c r="G692" s="203"/>
      <c r="H692" s="203"/>
      <c r="J692" s="89"/>
      <c r="K692" s="89"/>
      <c r="L692" s="89"/>
      <c r="M692" s="89"/>
      <c r="N692" s="89"/>
      <c r="O692" s="89"/>
      <c r="P692" s="89"/>
      <c r="Q692" s="89"/>
      <c r="R692" s="89"/>
      <c r="S692" s="89"/>
    </row>
    <row r="693" spans="1:19" s="14" customFormat="1" ht="14.1" customHeight="1">
      <c r="A693" s="374"/>
      <c r="B693" s="89"/>
      <c r="C693" s="89"/>
      <c r="D693" s="89"/>
      <c r="E693" s="200"/>
      <c r="F693" s="200"/>
      <c r="G693" s="203"/>
      <c r="H693" s="203"/>
      <c r="J693" s="89"/>
      <c r="K693" s="89"/>
      <c r="L693" s="89"/>
      <c r="M693" s="89"/>
      <c r="N693" s="89"/>
      <c r="O693" s="89"/>
      <c r="P693" s="89"/>
      <c r="Q693" s="89"/>
      <c r="R693" s="89"/>
      <c r="S693" s="89"/>
    </row>
    <row r="694" spans="1:19" s="14" customFormat="1" ht="14.1" customHeight="1">
      <c r="A694" s="374"/>
      <c r="B694" s="89"/>
      <c r="C694" s="89"/>
      <c r="D694" s="89"/>
      <c r="E694" s="200"/>
      <c r="F694" s="200"/>
      <c r="G694" s="203"/>
      <c r="H694" s="203"/>
      <c r="J694" s="89"/>
      <c r="K694" s="89"/>
      <c r="L694" s="89"/>
      <c r="M694" s="89"/>
      <c r="N694" s="89"/>
      <c r="O694" s="89"/>
      <c r="P694" s="89"/>
      <c r="Q694" s="89"/>
      <c r="R694" s="89"/>
      <c r="S694" s="89"/>
    </row>
    <row r="695" spans="1:19" s="14" customFormat="1" ht="14.1" customHeight="1">
      <c r="A695" s="374"/>
      <c r="B695" s="89"/>
      <c r="C695" s="89"/>
      <c r="D695" s="89"/>
      <c r="E695" s="200"/>
      <c r="F695" s="200"/>
      <c r="G695" s="203"/>
      <c r="H695" s="203"/>
      <c r="J695" s="89"/>
      <c r="K695" s="89"/>
      <c r="L695" s="89"/>
      <c r="M695" s="89"/>
      <c r="N695" s="89"/>
      <c r="O695" s="89"/>
      <c r="P695" s="89"/>
      <c r="Q695" s="89"/>
      <c r="R695" s="89"/>
      <c r="S695" s="89"/>
    </row>
    <row r="696" spans="1:19" s="14" customFormat="1" ht="14.1" customHeight="1">
      <c r="A696" s="374"/>
      <c r="B696" s="89"/>
      <c r="C696" s="89"/>
      <c r="D696" s="89"/>
      <c r="E696" s="200"/>
      <c r="F696" s="200"/>
      <c r="G696" s="203"/>
      <c r="H696" s="203"/>
      <c r="J696" s="89"/>
      <c r="K696" s="89"/>
      <c r="L696" s="89"/>
      <c r="M696" s="89"/>
      <c r="N696" s="89"/>
      <c r="O696" s="89"/>
      <c r="P696" s="89"/>
      <c r="Q696" s="89"/>
      <c r="R696" s="89"/>
      <c r="S696" s="89"/>
    </row>
    <row r="697" spans="1:19" s="14" customFormat="1" ht="14.1" customHeight="1">
      <c r="A697" s="374"/>
      <c r="B697" s="89"/>
      <c r="C697" s="89"/>
      <c r="D697" s="89"/>
      <c r="E697" s="200"/>
      <c r="F697" s="200"/>
      <c r="G697" s="203"/>
      <c r="H697" s="203"/>
      <c r="J697" s="89"/>
      <c r="K697" s="89"/>
      <c r="L697" s="89"/>
      <c r="M697" s="89"/>
      <c r="N697" s="89"/>
      <c r="O697" s="89"/>
      <c r="P697" s="89"/>
      <c r="Q697" s="89"/>
      <c r="R697" s="89"/>
      <c r="S697" s="89"/>
    </row>
    <row r="698" spans="1:19" s="14" customFormat="1" ht="14.1" customHeight="1">
      <c r="A698" s="374"/>
      <c r="B698" s="89"/>
      <c r="C698" s="89"/>
      <c r="D698" s="89"/>
      <c r="E698" s="200"/>
      <c r="F698" s="200"/>
      <c r="G698" s="203"/>
      <c r="H698" s="203"/>
      <c r="J698" s="89"/>
      <c r="K698" s="89"/>
      <c r="L698" s="89"/>
      <c r="M698" s="89"/>
      <c r="N698" s="89"/>
      <c r="O698" s="89"/>
      <c r="P698" s="89"/>
      <c r="Q698" s="89"/>
      <c r="R698" s="89"/>
      <c r="S698" s="89"/>
    </row>
    <row r="699" spans="1:19" s="14" customFormat="1" ht="14.1" customHeight="1">
      <c r="A699" s="374"/>
      <c r="B699" s="89"/>
      <c r="C699" s="89"/>
      <c r="D699" s="89"/>
      <c r="E699" s="200"/>
      <c r="F699" s="200"/>
      <c r="G699" s="203"/>
      <c r="H699" s="203"/>
      <c r="J699" s="89"/>
      <c r="K699" s="89"/>
      <c r="L699" s="89"/>
      <c r="M699" s="89"/>
      <c r="N699" s="89"/>
      <c r="O699" s="89"/>
      <c r="P699" s="89"/>
      <c r="Q699" s="89"/>
      <c r="R699" s="89"/>
      <c r="S699" s="89"/>
    </row>
    <row r="700" spans="1:19" s="14" customFormat="1" ht="14.1" customHeight="1">
      <c r="A700" s="374"/>
      <c r="B700" s="89"/>
      <c r="C700" s="89"/>
      <c r="D700" s="89"/>
      <c r="E700" s="200"/>
      <c r="F700" s="200"/>
      <c r="G700" s="203"/>
      <c r="H700" s="203"/>
      <c r="J700" s="89"/>
      <c r="K700" s="89"/>
      <c r="L700" s="89"/>
      <c r="M700" s="89"/>
      <c r="N700" s="89"/>
      <c r="O700" s="89"/>
      <c r="P700" s="89"/>
      <c r="Q700" s="89"/>
      <c r="R700" s="89"/>
      <c r="S700" s="89"/>
    </row>
    <row r="701" spans="1:19" s="14" customFormat="1" ht="14.1" customHeight="1">
      <c r="A701" s="374"/>
      <c r="B701" s="89"/>
      <c r="C701" s="89"/>
      <c r="D701" s="89"/>
      <c r="E701" s="200"/>
      <c r="F701" s="200"/>
      <c r="G701" s="203"/>
      <c r="H701" s="203"/>
      <c r="J701" s="89"/>
      <c r="K701" s="89"/>
      <c r="L701" s="89"/>
      <c r="M701" s="89"/>
      <c r="N701" s="89"/>
      <c r="O701" s="89"/>
      <c r="P701" s="89"/>
      <c r="Q701" s="89"/>
      <c r="R701" s="89"/>
      <c r="S701" s="89"/>
    </row>
    <row r="702" spans="1:19" s="14" customFormat="1" ht="14.1" customHeight="1">
      <c r="A702" s="374"/>
      <c r="B702" s="89"/>
      <c r="C702" s="89"/>
      <c r="D702" s="89"/>
      <c r="E702" s="200"/>
      <c r="F702" s="200"/>
      <c r="G702" s="203"/>
      <c r="H702" s="203"/>
      <c r="J702" s="89"/>
      <c r="K702" s="89"/>
      <c r="L702" s="89"/>
      <c r="M702" s="89"/>
      <c r="N702" s="89"/>
      <c r="O702" s="89"/>
      <c r="P702" s="89"/>
      <c r="Q702" s="89"/>
      <c r="R702" s="89"/>
      <c r="S702" s="89"/>
    </row>
    <row r="703" spans="1:19" s="14" customFormat="1" ht="14.1" customHeight="1">
      <c r="A703" s="374"/>
      <c r="B703" s="89"/>
      <c r="C703" s="89"/>
      <c r="D703" s="89"/>
      <c r="E703" s="200"/>
      <c r="F703" s="200"/>
      <c r="G703" s="203"/>
      <c r="H703" s="203"/>
      <c r="J703" s="89"/>
      <c r="K703" s="89"/>
      <c r="L703" s="89"/>
      <c r="M703" s="89"/>
      <c r="N703" s="89"/>
      <c r="O703" s="89"/>
      <c r="P703" s="89"/>
      <c r="Q703" s="89"/>
      <c r="R703" s="89"/>
      <c r="S703" s="89"/>
    </row>
    <row r="704" spans="1:19" s="14" customFormat="1" ht="14.1" customHeight="1">
      <c r="A704" s="374"/>
      <c r="B704" s="89"/>
      <c r="C704" s="89"/>
      <c r="D704" s="89"/>
      <c r="E704" s="200"/>
      <c r="F704" s="200"/>
      <c r="G704" s="203"/>
      <c r="H704" s="203"/>
      <c r="J704" s="89"/>
      <c r="K704" s="89"/>
      <c r="L704" s="89"/>
      <c r="M704" s="89"/>
      <c r="N704" s="89"/>
      <c r="O704" s="89"/>
      <c r="P704" s="89"/>
      <c r="Q704" s="89"/>
      <c r="R704" s="89"/>
      <c r="S704" s="89"/>
    </row>
    <row r="705" spans="1:19" s="14" customFormat="1" ht="14.1" customHeight="1">
      <c r="A705" s="374"/>
      <c r="B705" s="89"/>
      <c r="C705" s="89"/>
      <c r="D705" s="89"/>
      <c r="E705" s="200"/>
      <c r="F705" s="200"/>
      <c r="G705" s="203"/>
      <c r="H705" s="203"/>
      <c r="J705" s="89"/>
      <c r="K705" s="89"/>
      <c r="L705" s="89"/>
      <c r="M705" s="89"/>
      <c r="N705" s="89"/>
      <c r="O705" s="89"/>
      <c r="P705" s="89"/>
      <c r="Q705" s="89"/>
      <c r="R705" s="89"/>
      <c r="S705" s="89"/>
    </row>
    <row r="706" spans="1:19" s="14" customFormat="1" ht="14.1" customHeight="1">
      <c r="A706" s="374"/>
      <c r="B706" s="89"/>
      <c r="C706" s="89"/>
      <c r="D706" s="89"/>
      <c r="E706" s="200"/>
      <c r="F706" s="200"/>
      <c r="G706" s="203"/>
      <c r="H706" s="203"/>
      <c r="J706" s="89"/>
      <c r="K706" s="89"/>
      <c r="L706" s="89"/>
      <c r="M706" s="89"/>
      <c r="N706" s="89"/>
      <c r="O706" s="89"/>
      <c r="P706" s="89"/>
      <c r="Q706" s="89"/>
      <c r="R706" s="89"/>
      <c r="S706" s="89"/>
    </row>
    <row r="707" spans="1:19" s="14" customFormat="1" ht="14.1" customHeight="1">
      <c r="A707" s="374"/>
      <c r="B707" s="89"/>
      <c r="C707" s="89"/>
      <c r="D707" s="89"/>
      <c r="E707" s="200"/>
      <c r="F707" s="200"/>
      <c r="G707" s="203"/>
      <c r="H707" s="203"/>
      <c r="J707" s="89"/>
      <c r="K707" s="89"/>
      <c r="L707" s="89"/>
      <c r="M707" s="89"/>
      <c r="N707" s="89"/>
      <c r="O707" s="89"/>
      <c r="P707" s="89"/>
      <c r="Q707" s="89"/>
      <c r="R707" s="89"/>
      <c r="S707" s="89"/>
    </row>
    <row r="708" spans="1:19" s="14" customFormat="1" ht="14.1" customHeight="1">
      <c r="A708" s="374"/>
      <c r="B708" s="89"/>
      <c r="C708" s="89"/>
      <c r="D708" s="89"/>
      <c r="E708" s="200"/>
      <c r="F708" s="200"/>
      <c r="G708" s="203"/>
      <c r="H708" s="203"/>
      <c r="J708" s="89"/>
      <c r="K708" s="89"/>
      <c r="L708" s="89"/>
      <c r="M708" s="89"/>
      <c r="N708" s="89"/>
      <c r="O708" s="89"/>
      <c r="P708" s="89"/>
      <c r="Q708" s="89"/>
      <c r="R708" s="89"/>
      <c r="S708" s="89"/>
    </row>
    <row r="709" spans="1:19" s="14" customFormat="1" ht="14.1" customHeight="1">
      <c r="A709" s="374"/>
      <c r="B709" s="89"/>
      <c r="C709" s="89"/>
      <c r="D709" s="89"/>
      <c r="E709" s="200"/>
      <c r="F709" s="200"/>
      <c r="G709" s="203"/>
      <c r="H709" s="203"/>
      <c r="J709" s="89"/>
      <c r="K709" s="89"/>
      <c r="L709" s="89"/>
      <c r="M709" s="89"/>
      <c r="N709" s="89"/>
      <c r="O709" s="89"/>
      <c r="P709" s="89"/>
      <c r="Q709" s="89"/>
      <c r="R709" s="89"/>
      <c r="S709" s="89"/>
    </row>
    <row r="710" spans="1:19" s="14" customFormat="1" ht="14.1" customHeight="1">
      <c r="A710" s="374"/>
      <c r="B710" s="89"/>
      <c r="C710" s="89"/>
      <c r="D710" s="89"/>
      <c r="E710" s="200"/>
      <c r="F710" s="200"/>
      <c r="G710" s="203"/>
      <c r="H710" s="203"/>
      <c r="J710" s="89"/>
      <c r="K710" s="89"/>
      <c r="L710" s="89"/>
      <c r="M710" s="89"/>
      <c r="N710" s="89"/>
      <c r="O710" s="89"/>
      <c r="P710" s="89"/>
      <c r="Q710" s="89"/>
      <c r="R710" s="89"/>
      <c r="S710" s="89"/>
    </row>
    <row r="711" spans="1:19" s="14" customFormat="1" ht="14.1" customHeight="1">
      <c r="A711" s="374"/>
      <c r="B711" s="89"/>
      <c r="C711" s="89"/>
      <c r="D711" s="89"/>
      <c r="E711" s="200"/>
      <c r="F711" s="200"/>
      <c r="G711" s="203"/>
      <c r="H711" s="203"/>
      <c r="J711" s="89"/>
      <c r="K711" s="89"/>
      <c r="L711" s="89"/>
      <c r="M711" s="89"/>
      <c r="N711" s="89"/>
      <c r="O711" s="89"/>
      <c r="P711" s="89"/>
      <c r="Q711" s="89"/>
      <c r="R711" s="89"/>
      <c r="S711" s="89"/>
    </row>
    <row r="712" spans="1:19" s="14" customFormat="1" ht="14.1" customHeight="1">
      <c r="A712" s="374"/>
      <c r="B712" s="89"/>
      <c r="C712" s="89"/>
      <c r="D712" s="89"/>
      <c r="E712" s="200"/>
      <c r="F712" s="200"/>
      <c r="G712" s="203"/>
      <c r="H712" s="203"/>
      <c r="J712" s="89"/>
      <c r="K712" s="89"/>
      <c r="L712" s="89"/>
      <c r="M712" s="89"/>
      <c r="N712" s="89"/>
      <c r="O712" s="89"/>
      <c r="P712" s="89"/>
      <c r="Q712" s="89"/>
      <c r="R712" s="89"/>
      <c r="S712" s="89"/>
    </row>
    <row r="713" spans="1:19" s="14" customFormat="1" ht="14.1" customHeight="1">
      <c r="A713" s="374"/>
      <c r="B713" s="89"/>
      <c r="C713" s="89"/>
      <c r="D713" s="89"/>
      <c r="E713" s="200"/>
      <c r="F713" s="200"/>
      <c r="G713" s="203"/>
      <c r="H713" s="203"/>
      <c r="J713" s="89"/>
      <c r="K713" s="89"/>
      <c r="L713" s="89"/>
      <c r="M713" s="89"/>
      <c r="N713" s="89"/>
      <c r="O713" s="89"/>
      <c r="P713" s="89"/>
      <c r="Q713" s="89"/>
      <c r="R713" s="89"/>
      <c r="S713" s="89"/>
    </row>
    <row r="714" spans="1:19" s="14" customFormat="1" ht="14.1" customHeight="1">
      <c r="A714" s="374"/>
      <c r="B714" s="89"/>
      <c r="C714" s="89"/>
      <c r="D714" s="89"/>
      <c r="E714" s="200"/>
      <c r="F714" s="200"/>
      <c r="G714" s="203"/>
      <c r="H714" s="203"/>
      <c r="J714" s="89"/>
      <c r="K714" s="89"/>
      <c r="L714" s="89"/>
      <c r="M714" s="89"/>
      <c r="N714" s="89"/>
      <c r="O714" s="89"/>
      <c r="P714" s="89"/>
      <c r="Q714" s="89"/>
      <c r="R714" s="89"/>
      <c r="S714" s="89"/>
    </row>
    <row r="715" spans="1:19" s="14" customFormat="1" ht="14.1" customHeight="1">
      <c r="A715" s="374"/>
      <c r="B715" s="89"/>
      <c r="C715" s="89"/>
      <c r="D715" s="89"/>
      <c r="E715" s="200"/>
      <c r="F715" s="200"/>
      <c r="G715" s="203"/>
      <c r="H715" s="203"/>
      <c r="J715" s="89"/>
      <c r="K715" s="89"/>
      <c r="L715" s="89"/>
      <c r="M715" s="89"/>
      <c r="N715" s="89"/>
      <c r="O715" s="89"/>
      <c r="P715" s="89"/>
      <c r="Q715" s="89"/>
      <c r="R715" s="89"/>
      <c r="S715" s="89"/>
    </row>
    <row r="716" spans="1:19" s="14" customFormat="1" ht="14.1" customHeight="1">
      <c r="A716" s="374"/>
      <c r="B716" s="89"/>
      <c r="C716" s="89"/>
      <c r="D716" s="89"/>
      <c r="E716" s="200"/>
      <c r="F716" s="200"/>
      <c r="G716" s="203"/>
      <c r="H716" s="203"/>
      <c r="J716" s="89"/>
      <c r="K716" s="89"/>
      <c r="L716" s="89"/>
      <c r="M716" s="89"/>
      <c r="N716" s="89"/>
      <c r="O716" s="89"/>
      <c r="P716" s="89"/>
      <c r="Q716" s="89"/>
      <c r="R716" s="89"/>
      <c r="S716" s="89"/>
    </row>
    <row r="717" spans="1:19" s="14" customFormat="1" ht="14.1" customHeight="1">
      <c r="A717" s="374"/>
      <c r="B717" s="89"/>
      <c r="C717" s="89"/>
      <c r="D717" s="89"/>
      <c r="E717" s="200"/>
      <c r="F717" s="200"/>
      <c r="G717" s="203"/>
      <c r="H717" s="203"/>
      <c r="J717" s="89"/>
      <c r="K717" s="89"/>
      <c r="L717" s="89"/>
      <c r="M717" s="89"/>
      <c r="N717" s="89"/>
      <c r="O717" s="89"/>
      <c r="P717" s="89"/>
      <c r="Q717" s="89"/>
      <c r="R717" s="89"/>
      <c r="S717" s="89"/>
    </row>
    <row r="718" spans="1:19" s="14" customFormat="1" ht="14.1" customHeight="1">
      <c r="A718" s="374"/>
      <c r="B718" s="89"/>
      <c r="C718" s="89"/>
      <c r="D718" s="89"/>
      <c r="E718" s="200"/>
      <c r="F718" s="200"/>
      <c r="G718" s="203"/>
      <c r="H718" s="203"/>
      <c r="J718" s="89"/>
      <c r="K718" s="89"/>
      <c r="L718" s="89"/>
      <c r="M718" s="89"/>
      <c r="N718" s="89"/>
      <c r="O718" s="89"/>
      <c r="P718" s="89"/>
      <c r="Q718" s="89"/>
      <c r="R718" s="89"/>
      <c r="S718" s="89"/>
    </row>
    <row r="719" spans="1:19" s="14" customFormat="1" ht="14.1" customHeight="1">
      <c r="A719" s="374"/>
      <c r="B719" s="89"/>
      <c r="C719" s="89"/>
      <c r="D719" s="89"/>
      <c r="E719" s="200"/>
      <c r="F719" s="200"/>
      <c r="G719" s="203"/>
      <c r="H719" s="203"/>
      <c r="J719" s="89"/>
      <c r="K719" s="89"/>
      <c r="L719" s="89"/>
      <c r="M719" s="89"/>
      <c r="N719" s="89"/>
      <c r="O719" s="89"/>
      <c r="P719" s="89"/>
      <c r="Q719" s="89"/>
      <c r="R719" s="89"/>
      <c r="S719" s="89"/>
    </row>
    <row r="720" spans="1:19" s="14" customFormat="1" ht="14.1" customHeight="1">
      <c r="A720" s="374"/>
      <c r="B720" s="89"/>
      <c r="C720" s="89"/>
      <c r="D720" s="89"/>
      <c r="E720" s="200"/>
      <c r="F720" s="200"/>
      <c r="G720" s="203"/>
      <c r="H720" s="203"/>
      <c r="J720" s="89"/>
      <c r="K720" s="89"/>
      <c r="L720" s="89"/>
      <c r="M720" s="89"/>
      <c r="N720" s="89"/>
      <c r="O720" s="89"/>
      <c r="P720" s="89"/>
      <c r="Q720" s="89"/>
      <c r="R720" s="89"/>
      <c r="S720" s="89"/>
    </row>
    <row r="721" spans="1:19" s="14" customFormat="1" ht="14.1" customHeight="1">
      <c r="A721" s="374"/>
      <c r="B721" s="89"/>
      <c r="C721" s="89"/>
      <c r="D721" s="89"/>
      <c r="E721" s="200"/>
      <c r="F721" s="200"/>
      <c r="G721" s="203"/>
      <c r="H721" s="203"/>
      <c r="J721" s="89"/>
      <c r="K721" s="89"/>
      <c r="L721" s="89"/>
      <c r="M721" s="89"/>
      <c r="N721" s="89"/>
      <c r="O721" s="89"/>
      <c r="P721" s="89"/>
      <c r="Q721" s="89"/>
      <c r="R721" s="89"/>
      <c r="S721" s="89"/>
    </row>
    <row r="722" spans="1:19" s="14" customFormat="1" ht="14.1" customHeight="1">
      <c r="A722" s="374"/>
      <c r="B722" s="89"/>
      <c r="C722" s="89"/>
      <c r="D722" s="89"/>
      <c r="E722" s="200"/>
      <c r="F722" s="200"/>
      <c r="G722" s="203"/>
      <c r="H722" s="203"/>
      <c r="J722" s="89"/>
      <c r="K722" s="89"/>
      <c r="L722" s="89"/>
      <c r="M722" s="89"/>
      <c r="N722" s="89"/>
      <c r="O722" s="89"/>
      <c r="P722" s="89"/>
      <c r="Q722" s="89"/>
      <c r="R722" s="89"/>
      <c r="S722" s="89"/>
    </row>
    <row r="723" spans="1:19" s="14" customFormat="1" ht="14.1" customHeight="1">
      <c r="A723" s="374"/>
      <c r="B723" s="89"/>
      <c r="C723" s="89"/>
      <c r="D723" s="89"/>
      <c r="E723" s="200"/>
      <c r="F723" s="200"/>
      <c r="G723" s="203"/>
      <c r="H723" s="203"/>
      <c r="J723" s="89"/>
      <c r="K723" s="89"/>
      <c r="L723" s="89"/>
      <c r="M723" s="89"/>
      <c r="N723" s="89"/>
      <c r="O723" s="89"/>
      <c r="P723" s="89"/>
      <c r="Q723" s="89"/>
      <c r="R723" s="89"/>
      <c r="S723" s="89"/>
    </row>
    <row r="724" spans="1:19" s="14" customFormat="1" ht="14.1" customHeight="1">
      <c r="A724" s="374"/>
      <c r="B724" s="89"/>
      <c r="C724" s="89"/>
      <c r="D724" s="89"/>
      <c r="E724" s="200"/>
      <c r="F724" s="200"/>
      <c r="G724" s="203"/>
      <c r="H724" s="203"/>
      <c r="J724" s="89"/>
      <c r="K724" s="89"/>
      <c r="L724" s="89"/>
      <c r="M724" s="89"/>
      <c r="N724" s="89"/>
      <c r="O724" s="89"/>
      <c r="P724" s="89"/>
      <c r="Q724" s="89"/>
      <c r="R724" s="89"/>
      <c r="S724" s="89"/>
    </row>
    <row r="725" spans="1:19" s="14" customFormat="1" ht="14.1" customHeight="1">
      <c r="A725" s="374"/>
      <c r="B725" s="89"/>
      <c r="C725" s="89"/>
      <c r="D725" s="89"/>
      <c r="E725" s="200"/>
      <c r="F725" s="200"/>
      <c r="G725" s="203"/>
      <c r="H725" s="203"/>
      <c r="J725" s="89"/>
      <c r="K725" s="89"/>
      <c r="L725" s="89"/>
      <c r="M725" s="89"/>
      <c r="N725" s="89"/>
      <c r="O725" s="89"/>
      <c r="P725" s="89"/>
      <c r="Q725" s="89"/>
      <c r="R725" s="89"/>
      <c r="S725" s="89"/>
    </row>
    <row r="726" spans="1:19" s="14" customFormat="1" ht="14.1" customHeight="1">
      <c r="A726" s="374"/>
      <c r="B726" s="89"/>
      <c r="C726" s="89"/>
      <c r="D726" s="89"/>
      <c r="E726" s="200"/>
      <c r="F726" s="200"/>
      <c r="G726" s="203"/>
      <c r="H726" s="203"/>
      <c r="J726" s="89"/>
      <c r="K726" s="89"/>
      <c r="L726" s="89"/>
      <c r="M726" s="89"/>
      <c r="N726" s="89"/>
      <c r="O726" s="89"/>
      <c r="P726" s="89"/>
      <c r="Q726" s="89"/>
      <c r="R726" s="89"/>
      <c r="S726" s="89"/>
    </row>
    <row r="727" spans="1:19" s="14" customFormat="1" ht="14.1" customHeight="1">
      <c r="A727" s="374"/>
      <c r="B727" s="89"/>
      <c r="C727" s="89"/>
      <c r="D727" s="89"/>
      <c r="E727" s="200"/>
      <c r="F727" s="200"/>
      <c r="G727" s="203"/>
      <c r="H727" s="203"/>
      <c r="J727" s="89"/>
      <c r="K727" s="89"/>
      <c r="L727" s="89"/>
      <c r="M727" s="89"/>
      <c r="N727" s="89"/>
      <c r="O727" s="89"/>
      <c r="P727" s="89"/>
      <c r="Q727" s="89"/>
      <c r="R727" s="89"/>
      <c r="S727" s="89"/>
    </row>
    <row r="728" spans="1:19" s="14" customFormat="1" ht="14.1" customHeight="1">
      <c r="A728" s="374"/>
      <c r="B728" s="89"/>
      <c r="C728" s="89"/>
      <c r="D728" s="89"/>
      <c r="E728" s="200"/>
      <c r="F728" s="200"/>
      <c r="G728" s="203"/>
      <c r="H728" s="203"/>
      <c r="J728" s="89"/>
      <c r="K728" s="89"/>
      <c r="L728" s="89"/>
      <c r="M728" s="89"/>
      <c r="N728" s="89"/>
      <c r="O728" s="89"/>
      <c r="P728" s="89"/>
      <c r="Q728" s="89"/>
      <c r="R728" s="89"/>
      <c r="S728" s="89"/>
    </row>
    <row r="729" spans="1:19" s="14" customFormat="1" ht="14.1" customHeight="1">
      <c r="A729" s="374"/>
      <c r="B729" s="89"/>
      <c r="C729" s="89"/>
      <c r="D729" s="89"/>
      <c r="E729" s="200"/>
      <c r="F729" s="200"/>
      <c r="G729" s="203"/>
      <c r="H729" s="203"/>
      <c r="J729" s="89"/>
      <c r="K729" s="89"/>
      <c r="L729" s="89"/>
      <c r="M729" s="89"/>
      <c r="N729" s="89"/>
      <c r="O729" s="89"/>
      <c r="P729" s="89"/>
      <c r="Q729" s="89"/>
      <c r="R729" s="89"/>
      <c r="S729" s="89"/>
    </row>
    <row r="730" spans="1:19" s="14" customFormat="1" ht="14.1" customHeight="1">
      <c r="A730" s="374"/>
      <c r="B730" s="89"/>
      <c r="C730" s="89"/>
      <c r="D730" s="89"/>
      <c r="E730" s="200"/>
      <c r="F730" s="200"/>
      <c r="G730" s="203"/>
      <c r="H730" s="203"/>
      <c r="J730" s="89"/>
      <c r="K730" s="89"/>
      <c r="L730" s="89"/>
      <c r="M730" s="89"/>
      <c r="N730" s="89"/>
      <c r="O730" s="89"/>
      <c r="P730" s="89"/>
      <c r="Q730" s="89"/>
      <c r="R730" s="89"/>
      <c r="S730" s="89"/>
    </row>
    <row r="731" spans="1:19" s="14" customFormat="1" ht="14.1" customHeight="1">
      <c r="A731" s="374"/>
      <c r="B731" s="89"/>
      <c r="C731" s="89"/>
      <c r="D731" s="89"/>
      <c r="E731" s="200"/>
      <c r="F731" s="200"/>
      <c r="G731" s="203"/>
      <c r="H731" s="203"/>
      <c r="J731" s="89"/>
      <c r="K731" s="89"/>
      <c r="L731" s="89"/>
      <c r="M731" s="89"/>
      <c r="N731" s="89"/>
      <c r="O731" s="89"/>
      <c r="P731" s="89"/>
      <c r="Q731" s="89"/>
      <c r="R731" s="89"/>
      <c r="S731" s="89"/>
    </row>
    <row r="732" spans="1:19" s="14" customFormat="1" ht="14.1" customHeight="1">
      <c r="A732" s="374"/>
      <c r="B732" s="89"/>
      <c r="C732" s="89"/>
      <c r="D732" s="89"/>
      <c r="E732" s="200"/>
      <c r="F732" s="200"/>
      <c r="G732" s="203"/>
      <c r="H732" s="203"/>
      <c r="J732" s="89"/>
      <c r="K732" s="89"/>
      <c r="L732" s="89"/>
      <c r="M732" s="89"/>
      <c r="N732" s="89"/>
      <c r="O732" s="89"/>
      <c r="P732" s="89"/>
      <c r="Q732" s="89"/>
      <c r="R732" s="89"/>
      <c r="S732" s="89"/>
    </row>
    <row r="733" spans="1:19" s="14" customFormat="1" ht="14.1" customHeight="1">
      <c r="A733" s="374"/>
      <c r="B733" s="89"/>
      <c r="C733" s="89"/>
      <c r="D733" s="89"/>
      <c r="E733" s="200"/>
      <c r="F733" s="200"/>
      <c r="G733" s="203"/>
      <c r="H733" s="203"/>
      <c r="J733" s="89"/>
      <c r="K733" s="89"/>
      <c r="L733" s="89"/>
      <c r="M733" s="89"/>
      <c r="N733" s="89"/>
      <c r="O733" s="89"/>
      <c r="P733" s="89"/>
      <c r="Q733" s="89"/>
      <c r="R733" s="89"/>
      <c r="S733" s="89"/>
    </row>
    <row r="734" spans="1:19" s="14" customFormat="1" ht="14.1" customHeight="1">
      <c r="A734" s="374"/>
      <c r="B734" s="89"/>
      <c r="C734" s="89"/>
      <c r="D734" s="89"/>
      <c r="E734" s="200"/>
      <c r="F734" s="200"/>
      <c r="G734" s="203"/>
      <c r="H734" s="203"/>
      <c r="J734" s="89"/>
      <c r="K734" s="89"/>
      <c r="L734" s="89"/>
      <c r="M734" s="89"/>
      <c r="N734" s="89"/>
      <c r="O734" s="89"/>
      <c r="P734" s="89"/>
      <c r="Q734" s="89"/>
      <c r="R734" s="89"/>
      <c r="S734" s="89"/>
    </row>
    <row r="735" spans="1:19" s="14" customFormat="1" ht="14.1" customHeight="1">
      <c r="A735" s="374"/>
      <c r="B735" s="89"/>
      <c r="C735" s="89"/>
      <c r="D735" s="89"/>
      <c r="E735" s="200"/>
      <c r="F735" s="200"/>
      <c r="G735" s="203"/>
      <c r="H735" s="203"/>
      <c r="J735" s="89"/>
      <c r="K735" s="89"/>
      <c r="L735" s="89"/>
      <c r="M735" s="89"/>
      <c r="N735" s="89"/>
      <c r="O735" s="89"/>
      <c r="P735" s="89"/>
      <c r="Q735" s="89"/>
      <c r="R735" s="89"/>
      <c r="S735" s="89"/>
    </row>
    <row r="736" spans="1:19" s="14" customFormat="1" ht="14.1" customHeight="1">
      <c r="A736" s="374"/>
      <c r="B736" s="89"/>
      <c r="C736" s="89"/>
      <c r="D736" s="89"/>
      <c r="E736" s="200"/>
      <c r="F736" s="200"/>
      <c r="G736" s="203"/>
      <c r="H736" s="203"/>
      <c r="J736" s="89"/>
      <c r="K736" s="89"/>
      <c r="L736" s="89"/>
      <c r="M736" s="89"/>
      <c r="N736" s="89"/>
      <c r="O736" s="89"/>
      <c r="P736" s="89"/>
      <c r="Q736" s="89"/>
      <c r="R736" s="89"/>
      <c r="S736" s="89"/>
    </row>
    <row r="737" spans="1:19" s="14" customFormat="1" ht="14.1" customHeight="1">
      <c r="A737" s="374"/>
      <c r="B737" s="89"/>
      <c r="C737" s="89"/>
      <c r="D737" s="89"/>
      <c r="E737" s="200"/>
      <c r="F737" s="200"/>
      <c r="G737" s="203"/>
      <c r="H737" s="203"/>
      <c r="J737" s="89"/>
      <c r="K737" s="89"/>
      <c r="L737" s="89"/>
      <c r="M737" s="89"/>
      <c r="N737" s="89"/>
      <c r="O737" s="89"/>
      <c r="P737" s="89"/>
      <c r="Q737" s="89"/>
      <c r="R737" s="89"/>
      <c r="S737" s="89"/>
    </row>
    <row r="738" spans="1:19" s="14" customFormat="1" ht="14.1" customHeight="1">
      <c r="A738" s="374"/>
      <c r="B738" s="89"/>
      <c r="C738" s="89"/>
      <c r="D738" s="89"/>
      <c r="E738" s="200"/>
      <c r="F738" s="200"/>
      <c r="G738" s="203"/>
      <c r="H738" s="203"/>
      <c r="J738" s="89"/>
      <c r="K738" s="89"/>
      <c r="L738" s="89"/>
      <c r="M738" s="89"/>
      <c r="N738" s="89"/>
      <c r="O738" s="89"/>
      <c r="P738" s="89"/>
      <c r="Q738" s="89"/>
      <c r="R738" s="89"/>
      <c r="S738" s="89"/>
    </row>
    <row r="739" spans="1:19" s="14" customFormat="1" ht="14.1" customHeight="1">
      <c r="A739" s="374"/>
      <c r="B739" s="89"/>
      <c r="C739" s="89"/>
      <c r="D739" s="89"/>
      <c r="E739" s="200"/>
      <c r="F739" s="200"/>
      <c r="G739" s="203"/>
      <c r="H739" s="203"/>
      <c r="J739" s="89"/>
      <c r="K739" s="89"/>
      <c r="L739" s="89"/>
      <c r="M739" s="89"/>
      <c r="N739" s="89"/>
      <c r="O739" s="89"/>
      <c r="P739" s="89"/>
      <c r="Q739" s="89"/>
      <c r="R739" s="89"/>
      <c r="S739" s="89"/>
    </row>
    <row r="740" spans="1:19" s="14" customFormat="1" ht="14.1" customHeight="1">
      <c r="A740" s="374"/>
      <c r="B740" s="89"/>
      <c r="C740" s="89"/>
      <c r="D740" s="89"/>
      <c r="E740" s="200"/>
      <c r="F740" s="200"/>
      <c r="G740" s="203"/>
      <c r="H740" s="203"/>
      <c r="J740" s="89"/>
      <c r="K740" s="89"/>
      <c r="L740" s="89"/>
      <c r="M740" s="89"/>
      <c r="N740" s="89"/>
      <c r="O740" s="89"/>
      <c r="P740" s="89"/>
      <c r="Q740" s="89"/>
      <c r="R740" s="89"/>
      <c r="S740" s="89"/>
    </row>
    <row r="741" spans="1:19" s="14" customFormat="1" ht="14.1" customHeight="1">
      <c r="A741" s="374"/>
      <c r="B741" s="89"/>
      <c r="C741" s="89"/>
      <c r="D741" s="89"/>
      <c r="E741" s="200"/>
      <c r="F741" s="200"/>
      <c r="G741" s="203"/>
      <c r="H741" s="203"/>
      <c r="J741" s="89"/>
      <c r="K741" s="89"/>
      <c r="L741" s="89"/>
      <c r="M741" s="89"/>
      <c r="N741" s="89"/>
      <c r="O741" s="89"/>
      <c r="P741" s="89"/>
      <c r="Q741" s="89"/>
      <c r="R741" s="89"/>
      <c r="S741" s="89"/>
    </row>
    <row r="742" spans="1:19" s="14" customFormat="1" ht="14.1" customHeight="1">
      <c r="A742" s="374"/>
      <c r="B742" s="89"/>
      <c r="C742" s="89"/>
      <c r="D742" s="89"/>
      <c r="E742" s="200"/>
      <c r="F742" s="200"/>
      <c r="G742" s="203"/>
      <c r="H742" s="203"/>
      <c r="J742" s="89"/>
      <c r="K742" s="89"/>
      <c r="L742" s="89"/>
      <c r="M742" s="89"/>
      <c r="N742" s="89"/>
      <c r="O742" s="89"/>
      <c r="P742" s="89"/>
      <c r="Q742" s="89"/>
      <c r="R742" s="89"/>
      <c r="S742" s="89"/>
    </row>
    <row r="743" spans="1:19" s="14" customFormat="1" ht="14.1" customHeight="1">
      <c r="A743" s="374"/>
      <c r="B743" s="89"/>
      <c r="C743" s="89"/>
      <c r="D743" s="89"/>
      <c r="E743" s="200"/>
      <c r="F743" s="200"/>
      <c r="G743" s="203"/>
      <c r="H743" s="203"/>
      <c r="J743" s="89"/>
      <c r="K743" s="89"/>
      <c r="L743" s="89"/>
      <c r="M743" s="89"/>
      <c r="N743" s="89"/>
      <c r="O743" s="89"/>
      <c r="P743" s="89"/>
      <c r="Q743" s="89"/>
      <c r="R743" s="89"/>
      <c r="S743" s="89"/>
    </row>
    <row r="744" spans="1:19" s="14" customFormat="1" ht="14.1" customHeight="1">
      <c r="A744" s="374"/>
      <c r="B744" s="89"/>
      <c r="C744" s="89"/>
      <c r="D744" s="89"/>
      <c r="E744" s="200"/>
      <c r="F744" s="200"/>
      <c r="G744" s="203"/>
      <c r="H744" s="200"/>
      <c r="J744" s="89"/>
      <c r="K744" s="89"/>
      <c r="L744" s="89"/>
      <c r="M744" s="89"/>
      <c r="N744" s="89"/>
      <c r="O744" s="89"/>
      <c r="P744" s="89"/>
      <c r="Q744" s="89"/>
      <c r="R744" s="89"/>
      <c r="S744" s="89"/>
    </row>
    <row r="745" spans="1:19" s="14" customFormat="1" ht="14.1" customHeight="1">
      <c r="A745" s="374"/>
      <c r="B745" s="89"/>
      <c r="C745" s="89"/>
      <c r="D745" s="89"/>
      <c r="E745" s="200"/>
      <c r="F745" s="200"/>
      <c r="G745" s="203"/>
      <c r="H745" s="200"/>
      <c r="J745" s="89"/>
      <c r="K745" s="89"/>
      <c r="L745" s="89"/>
      <c r="M745" s="89"/>
      <c r="N745" s="89"/>
      <c r="O745" s="89"/>
      <c r="P745" s="89"/>
      <c r="Q745" s="89"/>
      <c r="R745" s="89"/>
      <c r="S745" s="89"/>
    </row>
    <row r="746" spans="1:19" s="14" customFormat="1" ht="14.1" customHeight="1">
      <c r="A746" s="374"/>
      <c r="B746" s="89"/>
      <c r="C746" s="89"/>
      <c r="D746" s="89"/>
      <c r="E746" s="200"/>
      <c r="F746" s="200"/>
      <c r="G746" s="203"/>
      <c r="H746" s="200"/>
      <c r="J746" s="89"/>
      <c r="K746" s="89"/>
      <c r="L746" s="89"/>
      <c r="M746" s="89"/>
      <c r="N746" s="89"/>
      <c r="O746" s="89"/>
      <c r="P746" s="89"/>
      <c r="Q746" s="89"/>
      <c r="R746" s="89"/>
      <c r="S746" s="89"/>
    </row>
    <row r="747" spans="1:19" s="14" customFormat="1" ht="14.1" customHeight="1">
      <c r="A747" s="374"/>
      <c r="B747" s="89"/>
      <c r="C747" s="89"/>
      <c r="D747" s="89"/>
      <c r="E747" s="200"/>
      <c r="F747" s="200"/>
      <c r="G747" s="203"/>
      <c r="H747" s="200"/>
      <c r="J747" s="89"/>
      <c r="K747" s="89"/>
      <c r="L747" s="89"/>
      <c r="M747" s="89"/>
      <c r="N747" s="89"/>
      <c r="O747" s="89"/>
      <c r="P747" s="89"/>
      <c r="Q747" s="89"/>
      <c r="R747" s="89"/>
      <c r="S747" s="89"/>
    </row>
    <row r="748" spans="1:19" s="14" customFormat="1" ht="14.1" customHeight="1">
      <c r="A748" s="374"/>
      <c r="B748" s="89"/>
      <c r="C748" s="89"/>
      <c r="D748" s="89"/>
      <c r="E748" s="200"/>
      <c r="F748" s="200"/>
      <c r="G748" s="203"/>
      <c r="H748" s="200"/>
      <c r="J748" s="89"/>
      <c r="K748" s="89"/>
      <c r="L748" s="89"/>
      <c r="M748" s="89"/>
      <c r="N748" s="89"/>
      <c r="O748" s="89"/>
      <c r="P748" s="89"/>
      <c r="Q748" s="89"/>
      <c r="R748" s="89"/>
      <c r="S748" s="89"/>
    </row>
    <row r="749" spans="1:19" s="14" customFormat="1" ht="14.1" customHeight="1">
      <c r="A749" s="374"/>
      <c r="B749" s="89"/>
      <c r="C749" s="89"/>
      <c r="D749" s="89"/>
      <c r="E749" s="200"/>
      <c r="F749" s="200"/>
      <c r="G749" s="203"/>
      <c r="H749" s="200"/>
      <c r="J749" s="89"/>
      <c r="K749" s="89"/>
      <c r="L749" s="89"/>
      <c r="M749" s="89"/>
      <c r="N749" s="89"/>
      <c r="O749" s="89"/>
      <c r="P749" s="89"/>
      <c r="Q749" s="89"/>
      <c r="R749" s="89"/>
      <c r="S749" s="89"/>
    </row>
    <row r="750" spans="1:19" s="14" customFormat="1" ht="14.1" customHeight="1">
      <c r="A750" s="374"/>
      <c r="B750" s="89"/>
      <c r="C750" s="89"/>
      <c r="D750" s="89"/>
      <c r="E750" s="200"/>
      <c r="F750" s="200"/>
      <c r="G750" s="203"/>
      <c r="H750" s="200"/>
      <c r="J750" s="89"/>
      <c r="K750" s="89"/>
      <c r="L750" s="89"/>
      <c r="M750" s="89"/>
      <c r="N750" s="89"/>
      <c r="O750" s="89"/>
      <c r="P750" s="89"/>
      <c r="Q750" s="89"/>
      <c r="R750" s="89"/>
      <c r="S750" s="89"/>
    </row>
    <row r="751" spans="1:19" s="14" customFormat="1" ht="14.1" customHeight="1">
      <c r="A751" s="374"/>
      <c r="B751" s="89"/>
      <c r="C751" s="89"/>
      <c r="D751" s="89"/>
      <c r="E751" s="200"/>
      <c r="F751" s="200"/>
      <c r="G751" s="203"/>
      <c r="H751" s="200"/>
      <c r="J751" s="89"/>
      <c r="K751" s="89"/>
      <c r="L751" s="89"/>
      <c r="M751" s="89"/>
      <c r="N751" s="89"/>
      <c r="O751" s="89"/>
      <c r="P751" s="89"/>
      <c r="Q751" s="89"/>
      <c r="R751" s="89"/>
      <c r="S751" s="89"/>
    </row>
    <row r="752" spans="1:19" s="14" customFormat="1" ht="14.1" customHeight="1">
      <c r="A752" s="374"/>
      <c r="B752" s="89"/>
      <c r="C752" s="89"/>
      <c r="D752" s="89"/>
      <c r="E752" s="200"/>
      <c r="F752" s="200"/>
      <c r="G752" s="203"/>
      <c r="H752" s="200"/>
      <c r="J752" s="89"/>
      <c r="K752" s="89"/>
      <c r="L752" s="89"/>
      <c r="M752" s="89"/>
      <c r="N752" s="89"/>
      <c r="O752" s="89"/>
      <c r="P752" s="89"/>
      <c r="Q752" s="89"/>
      <c r="R752" s="89"/>
      <c r="S752" s="89"/>
    </row>
    <row r="753" spans="1:19" s="14" customFormat="1" ht="14.1" customHeight="1">
      <c r="A753" s="374"/>
      <c r="B753" s="89"/>
      <c r="C753" s="89"/>
      <c r="D753" s="89"/>
      <c r="E753" s="200"/>
      <c r="F753" s="200"/>
      <c r="G753" s="203"/>
      <c r="H753" s="200"/>
      <c r="J753" s="89"/>
      <c r="K753" s="89"/>
      <c r="L753" s="89"/>
      <c r="M753" s="89"/>
      <c r="N753" s="89"/>
      <c r="O753" s="89"/>
      <c r="P753" s="89"/>
      <c r="Q753" s="89"/>
      <c r="R753" s="89"/>
      <c r="S753" s="89"/>
    </row>
    <row r="754" spans="1:19" s="14" customFormat="1" ht="14.1" customHeight="1">
      <c r="A754" s="374"/>
      <c r="B754" s="89"/>
      <c r="C754" s="89"/>
      <c r="D754" s="89"/>
      <c r="E754" s="200"/>
      <c r="F754" s="200"/>
      <c r="G754" s="203"/>
      <c r="H754" s="200"/>
      <c r="J754" s="89"/>
      <c r="K754" s="89"/>
      <c r="L754" s="89"/>
      <c r="M754" s="89"/>
      <c r="N754" s="89"/>
      <c r="O754" s="89"/>
      <c r="P754" s="89"/>
      <c r="Q754" s="89"/>
      <c r="R754" s="89"/>
      <c r="S754" s="89"/>
    </row>
    <row r="755" spans="1:19" s="14" customFormat="1" ht="14.1" customHeight="1">
      <c r="A755" s="374"/>
      <c r="B755" s="89"/>
      <c r="C755" s="89"/>
      <c r="D755" s="89"/>
      <c r="E755" s="200"/>
      <c r="F755" s="200"/>
      <c r="G755" s="203"/>
      <c r="H755" s="200"/>
      <c r="J755" s="89"/>
      <c r="K755" s="89"/>
      <c r="L755" s="89"/>
      <c r="M755" s="89"/>
      <c r="N755" s="89"/>
      <c r="O755" s="89"/>
      <c r="P755" s="89"/>
      <c r="Q755" s="89"/>
      <c r="R755" s="89"/>
      <c r="S755" s="89"/>
    </row>
    <row r="756" spans="1:19" s="14" customFormat="1" ht="14.1" customHeight="1">
      <c r="A756" s="374"/>
      <c r="B756" s="89"/>
      <c r="C756" s="89"/>
      <c r="D756" s="89"/>
      <c r="E756" s="200"/>
      <c r="F756" s="200"/>
      <c r="G756" s="203"/>
      <c r="H756" s="200"/>
      <c r="J756" s="89"/>
      <c r="K756" s="89"/>
      <c r="L756" s="89"/>
      <c r="M756" s="89"/>
      <c r="N756" s="89"/>
      <c r="O756" s="89"/>
      <c r="P756" s="89"/>
      <c r="Q756" s="89"/>
      <c r="R756" s="89"/>
      <c r="S756" s="89"/>
    </row>
    <row r="757" spans="1:19" s="14" customFormat="1" ht="14.1" customHeight="1">
      <c r="A757" s="374"/>
      <c r="B757" s="89"/>
      <c r="C757" s="89"/>
      <c r="D757" s="89"/>
      <c r="E757" s="200"/>
      <c r="F757" s="200"/>
      <c r="G757" s="203"/>
      <c r="H757" s="200"/>
      <c r="J757" s="89"/>
      <c r="K757" s="89"/>
      <c r="L757" s="89"/>
      <c r="M757" s="89"/>
      <c r="N757" s="89"/>
      <c r="O757" s="89"/>
      <c r="P757" s="89"/>
      <c r="Q757" s="89"/>
      <c r="R757" s="89"/>
      <c r="S757" s="89"/>
    </row>
    <row r="758" spans="1:19" s="14" customFormat="1" ht="14.1" customHeight="1">
      <c r="A758" s="374"/>
      <c r="B758" s="89"/>
      <c r="C758" s="89"/>
      <c r="D758" s="89"/>
      <c r="E758" s="200"/>
      <c r="F758" s="200"/>
      <c r="G758" s="203"/>
      <c r="H758" s="200"/>
      <c r="J758" s="89"/>
      <c r="K758" s="89"/>
      <c r="L758" s="89"/>
      <c r="M758" s="89"/>
      <c r="N758" s="89"/>
      <c r="O758" s="89"/>
      <c r="P758" s="89"/>
      <c r="Q758" s="89"/>
      <c r="R758" s="89"/>
      <c r="S758" s="89"/>
    </row>
    <row r="759" spans="1:19" s="14" customFormat="1" ht="14.1" customHeight="1">
      <c r="A759" s="374"/>
      <c r="B759" s="89"/>
      <c r="C759" s="89"/>
      <c r="D759" s="89"/>
      <c r="E759" s="200"/>
      <c r="F759" s="200"/>
      <c r="G759" s="203"/>
      <c r="H759" s="200"/>
      <c r="J759" s="89"/>
      <c r="K759" s="89"/>
      <c r="L759" s="89"/>
      <c r="M759" s="89"/>
      <c r="N759" s="89"/>
      <c r="O759" s="89"/>
      <c r="P759" s="89"/>
      <c r="Q759" s="89"/>
      <c r="R759" s="89"/>
      <c r="S759" s="89"/>
    </row>
    <row r="760" spans="1:19" s="14" customFormat="1" ht="14.1" customHeight="1">
      <c r="A760" s="374"/>
      <c r="B760" s="89"/>
      <c r="C760" s="89"/>
      <c r="D760" s="89"/>
      <c r="E760" s="200"/>
      <c r="F760" s="200"/>
      <c r="G760" s="203"/>
      <c r="H760" s="200"/>
      <c r="J760" s="89"/>
      <c r="K760" s="89"/>
      <c r="L760" s="89"/>
      <c r="M760" s="89"/>
      <c r="N760" s="89"/>
      <c r="O760" s="89"/>
      <c r="P760" s="89"/>
      <c r="Q760" s="89"/>
      <c r="R760" s="89"/>
      <c r="S760" s="89"/>
    </row>
    <row r="761" spans="1:19" s="14" customFormat="1" ht="14.1" customHeight="1">
      <c r="A761" s="374"/>
      <c r="B761" s="89"/>
      <c r="C761" s="89"/>
      <c r="D761" s="89"/>
      <c r="E761" s="200"/>
      <c r="F761" s="200"/>
      <c r="G761" s="203"/>
      <c r="H761" s="200"/>
      <c r="J761" s="89"/>
      <c r="K761" s="89"/>
      <c r="L761" s="89"/>
      <c r="M761" s="89"/>
      <c r="N761" s="89"/>
      <c r="O761" s="89"/>
      <c r="P761" s="89"/>
      <c r="Q761" s="89"/>
      <c r="R761" s="89"/>
      <c r="S761" s="89"/>
    </row>
    <row r="762" spans="1:19" s="14" customFormat="1" ht="14.1" customHeight="1">
      <c r="A762" s="374"/>
      <c r="B762" s="89"/>
      <c r="C762" s="89"/>
      <c r="D762" s="89"/>
      <c r="E762" s="200"/>
      <c r="F762" s="200"/>
      <c r="G762" s="203"/>
      <c r="H762" s="200"/>
      <c r="J762" s="89"/>
      <c r="K762" s="89"/>
      <c r="L762" s="89"/>
      <c r="M762" s="89"/>
      <c r="N762" s="89"/>
      <c r="O762" s="89"/>
      <c r="P762" s="89"/>
      <c r="Q762" s="89"/>
      <c r="R762" s="89"/>
      <c r="S762" s="89"/>
    </row>
    <row r="763" spans="1:19" s="14" customFormat="1" ht="14.1" customHeight="1">
      <c r="A763" s="374"/>
      <c r="B763" s="89"/>
      <c r="C763" s="89"/>
      <c r="D763" s="89"/>
      <c r="E763" s="200"/>
      <c r="F763" s="200"/>
      <c r="G763" s="203"/>
      <c r="H763" s="200"/>
      <c r="J763" s="89"/>
      <c r="K763" s="89"/>
      <c r="L763" s="89"/>
      <c r="M763" s="89"/>
      <c r="N763" s="89"/>
      <c r="O763" s="89"/>
      <c r="P763" s="89"/>
      <c r="Q763" s="89"/>
      <c r="R763" s="89"/>
      <c r="S763" s="89"/>
    </row>
    <row r="764" spans="1:19" s="14" customFormat="1" ht="14.1" customHeight="1">
      <c r="A764" s="374"/>
      <c r="B764" s="89"/>
      <c r="C764" s="89"/>
      <c r="D764" s="89"/>
      <c r="E764" s="200"/>
      <c r="F764" s="200"/>
      <c r="G764" s="203"/>
      <c r="H764" s="200"/>
      <c r="J764" s="89"/>
      <c r="K764" s="89"/>
      <c r="L764" s="89"/>
      <c r="M764" s="89"/>
      <c r="N764" s="89"/>
      <c r="O764" s="89"/>
      <c r="P764" s="89"/>
      <c r="Q764" s="89"/>
      <c r="R764" s="89"/>
      <c r="S764" s="89"/>
    </row>
    <row r="765" spans="1:19" s="14" customFormat="1" ht="14.1" customHeight="1">
      <c r="A765" s="374"/>
      <c r="B765" s="89"/>
      <c r="C765" s="89"/>
      <c r="D765" s="89"/>
      <c r="E765" s="200"/>
      <c r="F765" s="200"/>
      <c r="G765" s="203"/>
      <c r="H765" s="200"/>
      <c r="J765" s="89"/>
      <c r="K765" s="89"/>
      <c r="L765" s="89"/>
      <c r="M765" s="89"/>
      <c r="N765" s="89"/>
      <c r="O765" s="89"/>
      <c r="P765" s="89"/>
      <c r="Q765" s="89"/>
      <c r="R765" s="89"/>
      <c r="S765" s="89"/>
    </row>
    <row r="766" spans="1:19" s="14" customFormat="1" ht="14.1" customHeight="1">
      <c r="A766" s="374"/>
      <c r="B766" s="89"/>
      <c r="C766" s="89"/>
      <c r="D766" s="89"/>
      <c r="E766" s="200"/>
      <c r="F766" s="200"/>
      <c r="G766" s="203"/>
      <c r="H766" s="200"/>
      <c r="J766" s="89"/>
      <c r="K766" s="89"/>
      <c r="L766" s="89"/>
      <c r="M766" s="89"/>
      <c r="N766" s="89"/>
      <c r="O766" s="89"/>
      <c r="P766" s="89"/>
      <c r="Q766" s="89"/>
      <c r="R766" s="89"/>
      <c r="S766" s="89"/>
    </row>
    <row r="767" spans="1:19" s="14" customFormat="1" ht="14.1" customHeight="1">
      <c r="A767" s="374"/>
      <c r="B767" s="89"/>
      <c r="C767" s="89"/>
      <c r="D767" s="89"/>
      <c r="E767" s="200"/>
      <c r="F767" s="200"/>
      <c r="G767" s="203"/>
      <c r="H767" s="200"/>
      <c r="J767" s="89"/>
      <c r="K767" s="89"/>
      <c r="L767" s="89"/>
      <c r="M767" s="89"/>
      <c r="N767" s="89"/>
      <c r="O767" s="89"/>
      <c r="P767" s="89"/>
      <c r="Q767" s="89"/>
      <c r="R767" s="89"/>
      <c r="S767" s="89"/>
    </row>
    <row r="768" spans="1:19" s="14" customFormat="1" ht="14.1" customHeight="1">
      <c r="A768" s="374"/>
      <c r="B768" s="89"/>
      <c r="C768" s="89"/>
      <c r="D768" s="89"/>
      <c r="E768" s="200"/>
      <c r="F768" s="200"/>
      <c r="G768" s="203"/>
      <c r="H768" s="200"/>
      <c r="J768" s="89"/>
      <c r="K768" s="89"/>
      <c r="L768" s="89"/>
      <c r="M768" s="89"/>
      <c r="N768" s="89"/>
      <c r="O768" s="89"/>
      <c r="P768" s="89"/>
      <c r="Q768" s="89"/>
      <c r="R768" s="89"/>
      <c r="S768" s="89"/>
    </row>
    <row r="769" spans="1:19" s="14" customFormat="1" ht="14.1" customHeight="1">
      <c r="A769" s="374"/>
      <c r="B769" s="89"/>
      <c r="C769" s="89"/>
      <c r="D769" s="89"/>
      <c r="E769" s="200"/>
      <c r="F769" s="200"/>
      <c r="G769" s="203"/>
      <c r="H769" s="200"/>
      <c r="J769" s="89"/>
      <c r="K769" s="89"/>
      <c r="L769" s="89"/>
      <c r="M769" s="89"/>
      <c r="N769" s="89"/>
      <c r="O769" s="89"/>
      <c r="P769" s="89"/>
      <c r="Q769" s="89"/>
      <c r="R769" s="89"/>
      <c r="S769" s="89"/>
    </row>
    <row r="770" spans="1:19" s="14" customFormat="1" ht="14.1" customHeight="1">
      <c r="A770" s="374"/>
      <c r="B770" s="89"/>
      <c r="C770" s="89"/>
      <c r="D770" s="89"/>
      <c r="E770" s="200"/>
      <c r="F770" s="200"/>
      <c r="G770" s="203"/>
      <c r="H770" s="200"/>
      <c r="J770" s="89"/>
      <c r="K770" s="89"/>
      <c r="L770" s="89"/>
      <c r="M770" s="89"/>
      <c r="N770" s="89"/>
      <c r="O770" s="89"/>
      <c r="P770" s="89"/>
      <c r="Q770" s="89"/>
      <c r="R770" s="89"/>
      <c r="S770" s="89"/>
    </row>
    <row r="771" spans="1:19" s="14" customFormat="1" ht="14.1" customHeight="1">
      <c r="A771" s="374"/>
      <c r="B771" s="89"/>
      <c r="C771" s="89"/>
      <c r="D771" s="89"/>
      <c r="E771" s="200"/>
      <c r="F771" s="200"/>
      <c r="G771" s="203"/>
      <c r="H771" s="200"/>
      <c r="J771" s="89"/>
      <c r="K771" s="89"/>
      <c r="L771" s="89"/>
      <c r="M771" s="89"/>
      <c r="N771" s="89"/>
      <c r="O771" s="89"/>
      <c r="P771" s="89"/>
      <c r="Q771" s="89"/>
      <c r="R771" s="89"/>
      <c r="S771" s="89"/>
    </row>
    <row r="772" spans="1:19" s="14" customFormat="1" ht="14.1" customHeight="1">
      <c r="A772" s="374"/>
      <c r="B772" s="89"/>
      <c r="C772" s="89"/>
      <c r="D772" s="89"/>
      <c r="E772" s="200"/>
      <c r="F772" s="200"/>
      <c r="G772" s="203"/>
      <c r="H772" s="200"/>
      <c r="J772" s="89"/>
      <c r="K772" s="89"/>
      <c r="L772" s="89"/>
      <c r="M772" s="89"/>
      <c r="N772" s="89"/>
      <c r="O772" s="89"/>
      <c r="P772" s="89"/>
      <c r="Q772" s="89"/>
      <c r="R772" s="89"/>
      <c r="S772" s="89"/>
    </row>
    <row r="773" spans="1:19" s="14" customFormat="1" ht="14.1" customHeight="1">
      <c r="A773" s="374"/>
      <c r="B773" s="89"/>
      <c r="C773" s="89"/>
      <c r="D773" s="89"/>
      <c r="E773" s="200"/>
      <c r="F773" s="200"/>
      <c r="G773" s="203"/>
      <c r="H773" s="200"/>
      <c r="J773" s="89"/>
      <c r="K773" s="89"/>
      <c r="L773" s="89"/>
      <c r="M773" s="89"/>
      <c r="N773" s="89"/>
      <c r="O773" s="89"/>
      <c r="P773" s="89"/>
      <c r="Q773" s="89"/>
      <c r="R773" s="89"/>
      <c r="S773" s="89"/>
    </row>
    <row r="774" spans="1:19" s="14" customFormat="1" ht="14.1" customHeight="1">
      <c r="A774" s="374"/>
      <c r="B774" s="89"/>
      <c r="C774" s="89"/>
      <c r="D774" s="89"/>
      <c r="E774" s="200"/>
      <c r="F774" s="200"/>
      <c r="G774" s="200"/>
      <c r="H774" s="200"/>
      <c r="J774" s="89"/>
      <c r="K774" s="89"/>
      <c r="L774" s="89"/>
      <c r="M774" s="89"/>
      <c r="N774" s="89"/>
      <c r="O774" s="89"/>
      <c r="P774" s="89"/>
      <c r="Q774" s="89"/>
      <c r="R774" s="89"/>
      <c r="S774" s="89"/>
    </row>
    <row r="775" spans="1:19" s="14" customFormat="1" ht="14.1" customHeight="1">
      <c r="A775" s="374"/>
      <c r="B775" s="89"/>
      <c r="C775" s="89"/>
      <c r="D775" s="89"/>
      <c r="E775" s="200"/>
      <c r="F775" s="200"/>
      <c r="G775" s="200"/>
      <c r="H775" s="200"/>
      <c r="J775" s="89"/>
      <c r="K775" s="89"/>
      <c r="L775" s="89"/>
      <c r="M775" s="89"/>
      <c r="N775" s="89"/>
      <c r="O775" s="89"/>
      <c r="P775" s="89"/>
      <c r="Q775" s="89"/>
      <c r="R775" s="89"/>
      <c r="S775" s="89"/>
    </row>
    <row r="776" spans="1:19" s="14" customFormat="1" ht="14.1" customHeight="1">
      <c r="A776" s="374"/>
      <c r="B776" s="89"/>
      <c r="C776" s="89"/>
      <c r="D776" s="89"/>
      <c r="E776" s="200"/>
      <c r="F776" s="200"/>
      <c r="G776" s="200"/>
      <c r="H776" s="200"/>
      <c r="J776" s="89"/>
      <c r="K776" s="89"/>
      <c r="L776" s="89"/>
      <c r="M776" s="89"/>
      <c r="N776" s="89"/>
      <c r="O776" s="89"/>
      <c r="P776" s="89"/>
      <c r="Q776" s="89"/>
      <c r="R776" s="89"/>
      <c r="S776" s="89"/>
    </row>
    <row r="777" spans="1:19" s="14" customFormat="1" ht="14.1" customHeight="1">
      <c r="A777" s="374"/>
      <c r="B777" s="89"/>
      <c r="C777" s="89"/>
      <c r="D777" s="89"/>
      <c r="E777" s="200"/>
      <c r="F777" s="200"/>
      <c r="G777" s="200"/>
      <c r="H777" s="200"/>
      <c r="J777" s="89"/>
      <c r="K777" s="89"/>
      <c r="L777" s="89"/>
      <c r="M777" s="89"/>
      <c r="N777" s="89"/>
      <c r="O777" s="89"/>
      <c r="P777" s="89"/>
      <c r="Q777" s="89"/>
      <c r="R777" s="89"/>
      <c r="S777" s="89"/>
    </row>
    <row r="778" spans="1:19" s="14" customFormat="1" ht="14.1" customHeight="1">
      <c r="A778" s="374"/>
      <c r="B778" s="89"/>
      <c r="C778" s="89"/>
      <c r="D778" s="89"/>
      <c r="E778" s="200"/>
      <c r="F778" s="200"/>
      <c r="G778" s="200"/>
      <c r="H778" s="200"/>
      <c r="J778" s="89"/>
      <c r="K778" s="89"/>
      <c r="L778" s="89"/>
      <c r="M778" s="89"/>
      <c r="N778" s="89"/>
      <c r="O778" s="89"/>
      <c r="P778" s="89"/>
      <c r="Q778" s="89"/>
      <c r="R778" s="89"/>
      <c r="S778" s="89"/>
    </row>
    <row r="779" spans="1:19" s="14" customFormat="1" ht="14.1" customHeight="1">
      <c r="A779" s="374"/>
      <c r="B779" s="89"/>
      <c r="C779" s="89"/>
      <c r="D779" s="89"/>
      <c r="E779" s="200"/>
      <c r="F779" s="200"/>
      <c r="G779" s="200"/>
      <c r="H779" s="200"/>
      <c r="J779" s="89"/>
      <c r="K779" s="89"/>
      <c r="L779" s="89"/>
      <c r="M779" s="89"/>
      <c r="N779" s="89"/>
      <c r="O779" s="89"/>
      <c r="P779" s="89"/>
      <c r="Q779" s="89"/>
      <c r="R779" s="89"/>
      <c r="S779" s="89"/>
    </row>
    <row r="780" spans="1:19" s="14" customFormat="1" ht="14.1" customHeight="1">
      <c r="A780" s="374"/>
      <c r="B780" s="89"/>
      <c r="C780" s="89"/>
      <c r="D780" s="89"/>
      <c r="E780" s="200"/>
      <c r="F780" s="200"/>
      <c r="G780" s="200"/>
      <c r="H780" s="200"/>
      <c r="J780" s="89"/>
      <c r="K780" s="89"/>
      <c r="L780" s="89"/>
      <c r="M780" s="89"/>
      <c r="N780" s="89"/>
      <c r="O780" s="89"/>
      <c r="P780" s="89"/>
      <c r="Q780" s="89"/>
      <c r="R780" s="89"/>
      <c r="S780" s="89"/>
    </row>
    <row r="781" spans="1:19" s="14" customFormat="1" ht="14.1" customHeight="1">
      <c r="A781" s="374"/>
      <c r="B781" s="89"/>
      <c r="C781" s="89"/>
      <c r="D781" s="89"/>
      <c r="E781" s="200"/>
      <c r="F781" s="200"/>
      <c r="G781" s="200"/>
      <c r="H781" s="200"/>
      <c r="J781" s="89"/>
      <c r="K781" s="89"/>
      <c r="L781" s="89"/>
      <c r="M781" s="89"/>
      <c r="N781" s="89"/>
      <c r="O781" s="89"/>
      <c r="P781" s="89"/>
      <c r="Q781" s="89"/>
      <c r="R781" s="89"/>
      <c r="S781" s="89"/>
    </row>
    <row r="782" spans="1:19" s="14" customFormat="1" ht="14.1" customHeight="1">
      <c r="A782" s="374"/>
      <c r="B782" s="89"/>
      <c r="C782" s="89"/>
      <c r="D782" s="89"/>
      <c r="E782" s="200"/>
      <c r="F782" s="200"/>
      <c r="G782" s="200"/>
      <c r="H782" s="200"/>
      <c r="J782" s="89"/>
      <c r="K782" s="89"/>
      <c r="L782" s="89"/>
      <c r="M782" s="89"/>
      <c r="N782" s="89"/>
      <c r="O782" s="89"/>
      <c r="P782" s="89"/>
      <c r="Q782" s="89"/>
      <c r="R782" s="89"/>
      <c r="S782" s="89"/>
    </row>
    <row r="783" spans="1:19" s="14" customFormat="1" ht="14.1" customHeight="1">
      <c r="A783" s="374"/>
      <c r="B783" s="89"/>
      <c r="C783" s="89"/>
      <c r="D783" s="89"/>
      <c r="E783" s="200"/>
      <c r="F783" s="200"/>
      <c r="G783" s="200"/>
      <c r="H783" s="200"/>
      <c r="J783" s="89"/>
      <c r="K783" s="89"/>
      <c r="L783" s="89"/>
      <c r="M783" s="89"/>
      <c r="N783" s="89"/>
      <c r="O783" s="89"/>
      <c r="P783" s="89"/>
      <c r="Q783" s="89"/>
      <c r="R783" s="89"/>
      <c r="S783" s="89"/>
    </row>
    <row r="784" spans="1:19" s="14" customFormat="1" ht="14.1" customHeight="1">
      <c r="A784" s="374"/>
      <c r="B784" s="89"/>
      <c r="C784" s="89"/>
      <c r="D784" s="89"/>
      <c r="E784" s="200"/>
      <c r="F784" s="200"/>
      <c r="G784" s="200"/>
      <c r="H784" s="200"/>
      <c r="J784" s="89"/>
      <c r="K784" s="89"/>
      <c r="L784" s="89"/>
      <c r="M784" s="89"/>
      <c r="N784" s="89"/>
      <c r="O784" s="89"/>
      <c r="P784" s="89"/>
      <c r="Q784" s="89"/>
      <c r="R784" s="89"/>
      <c r="S784" s="89"/>
    </row>
    <row r="785" spans="1:19" s="14" customFormat="1" ht="14.1" customHeight="1">
      <c r="A785" s="374"/>
      <c r="B785" s="89"/>
      <c r="C785" s="89"/>
      <c r="D785" s="89"/>
      <c r="E785" s="200"/>
      <c r="F785" s="200"/>
      <c r="G785" s="200"/>
      <c r="H785" s="200"/>
      <c r="J785" s="89"/>
      <c r="K785" s="89"/>
      <c r="L785" s="89"/>
      <c r="M785" s="89"/>
      <c r="N785" s="89"/>
      <c r="O785" s="89"/>
      <c r="P785" s="89"/>
      <c r="Q785" s="89"/>
      <c r="R785" s="89"/>
      <c r="S785" s="89"/>
    </row>
    <row r="786" spans="1:19" s="14" customFormat="1" ht="14.1" customHeight="1">
      <c r="A786" s="374"/>
      <c r="B786" s="89"/>
      <c r="C786" s="89"/>
      <c r="D786" s="89"/>
      <c r="E786" s="200"/>
      <c r="F786" s="200"/>
      <c r="G786" s="200"/>
      <c r="H786" s="200"/>
      <c r="J786" s="89"/>
      <c r="K786" s="89"/>
      <c r="L786" s="89"/>
      <c r="M786" s="89"/>
      <c r="N786" s="89"/>
      <c r="O786" s="89"/>
      <c r="P786" s="89"/>
      <c r="Q786" s="89"/>
      <c r="R786" s="89"/>
      <c r="S786" s="89"/>
    </row>
    <row r="787" spans="1:19" s="14" customFormat="1" ht="14.1" customHeight="1">
      <c r="A787" s="374"/>
      <c r="B787" s="89"/>
      <c r="C787" s="89"/>
      <c r="D787" s="89"/>
      <c r="E787" s="200"/>
      <c r="F787" s="200"/>
      <c r="G787" s="200"/>
      <c r="H787" s="200"/>
      <c r="J787" s="89"/>
      <c r="K787" s="89"/>
      <c r="L787" s="89"/>
      <c r="M787" s="89"/>
      <c r="N787" s="89"/>
      <c r="O787" s="89"/>
      <c r="P787" s="89"/>
      <c r="Q787" s="89"/>
      <c r="R787" s="89"/>
      <c r="S787" s="89"/>
    </row>
    <row r="788" spans="1:19" s="14" customFormat="1" ht="14.1" customHeight="1">
      <c r="A788" s="374"/>
      <c r="B788" s="89"/>
      <c r="C788" s="89"/>
      <c r="D788" s="89"/>
      <c r="E788" s="200"/>
      <c r="F788" s="200"/>
      <c r="G788" s="200"/>
      <c r="H788" s="200"/>
      <c r="J788" s="89"/>
      <c r="K788" s="89"/>
      <c r="L788" s="89"/>
      <c r="M788" s="89"/>
      <c r="N788" s="89"/>
      <c r="O788" s="89"/>
      <c r="P788" s="89"/>
      <c r="Q788" s="89"/>
      <c r="R788" s="89"/>
      <c r="S788" s="89"/>
    </row>
    <row r="789" spans="1:19" s="14" customFormat="1" ht="14.1" customHeight="1">
      <c r="A789" s="374"/>
      <c r="B789" s="89"/>
      <c r="C789" s="89"/>
      <c r="D789" s="89"/>
      <c r="E789" s="200"/>
      <c r="F789" s="200"/>
      <c r="G789" s="200"/>
      <c r="H789" s="200"/>
      <c r="J789" s="89"/>
      <c r="K789" s="89"/>
      <c r="L789" s="89"/>
      <c r="M789" s="89"/>
      <c r="N789" s="89"/>
      <c r="O789" s="89"/>
      <c r="P789" s="89"/>
      <c r="Q789" s="89"/>
      <c r="R789" s="89"/>
      <c r="S789" s="89"/>
    </row>
    <row r="790" spans="1:19" s="14" customFormat="1" ht="14.1" customHeight="1">
      <c r="A790" s="374"/>
      <c r="B790" s="89"/>
      <c r="C790" s="89"/>
      <c r="D790" s="89"/>
      <c r="E790" s="200"/>
      <c r="F790" s="200"/>
      <c r="G790" s="200"/>
      <c r="H790" s="200"/>
      <c r="J790" s="89"/>
      <c r="K790" s="89"/>
      <c r="L790" s="89"/>
      <c r="M790" s="89"/>
      <c r="N790" s="89"/>
      <c r="O790" s="89"/>
      <c r="P790" s="89"/>
      <c r="Q790" s="89"/>
      <c r="R790" s="89"/>
      <c r="S790" s="89"/>
    </row>
    <row r="791" spans="1:19" s="14" customFormat="1" ht="14.1" customHeight="1">
      <c r="A791" s="374"/>
      <c r="B791" s="89"/>
      <c r="C791" s="89"/>
      <c r="D791" s="89"/>
      <c r="E791" s="200"/>
      <c r="F791" s="200"/>
      <c r="G791" s="200"/>
      <c r="H791" s="200"/>
      <c r="J791" s="89"/>
      <c r="K791" s="89"/>
      <c r="L791" s="89"/>
      <c r="M791" s="89"/>
      <c r="N791" s="89"/>
      <c r="O791" s="89"/>
      <c r="P791" s="89"/>
      <c r="Q791" s="89"/>
      <c r="R791" s="89"/>
      <c r="S791" s="89"/>
    </row>
    <row r="792" spans="1:19" s="14" customFormat="1" ht="14.1" customHeight="1">
      <c r="A792" s="374"/>
      <c r="B792" s="89"/>
      <c r="C792" s="89"/>
      <c r="D792" s="89"/>
      <c r="E792" s="200"/>
      <c r="F792" s="200"/>
      <c r="G792" s="200"/>
      <c r="H792" s="200"/>
      <c r="J792" s="89"/>
      <c r="K792" s="89"/>
      <c r="L792" s="89"/>
      <c r="M792" s="89"/>
      <c r="N792" s="89"/>
      <c r="O792" s="89"/>
      <c r="P792" s="89"/>
      <c r="Q792" s="89"/>
      <c r="R792" s="89"/>
      <c r="S792" s="89"/>
    </row>
    <row r="793" spans="1:19" s="14" customFormat="1" ht="14.1" customHeight="1">
      <c r="A793" s="374"/>
      <c r="B793" s="89"/>
      <c r="C793" s="89"/>
      <c r="D793" s="89"/>
      <c r="E793" s="200"/>
      <c r="F793" s="200"/>
      <c r="G793" s="200"/>
      <c r="H793" s="200"/>
      <c r="J793" s="89"/>
      <c r="K793" s="89"/>
      <c r="L793" s="89"/>
      <c r="M793" s="89"/>
      <c r="N793" s="89"/>
      <c r="O793" s="89"/>
      <c r="P793" s="89"/>
      <c r="Q793" s="89"/>
      <c r="R793" s="89"/>
      <c r="S793" s="89"/>
    </row>
    <row r="794" spans="1:19" s="14" customFormat="1" ht="14.1" customHeight="1">
      <c r="A794" s="374"/>
      <c r="B794" s="89"/>
      <c r="C794" s="89"/>
      <c r="D794" s="89"/>
      <c r="E794" s="200"/>
      <c r="F794" s="200"/>
      <c r="G794" s="200"/>
      <c r="H794" s="200"/>
      <c r="J794" s="89"/>
      <c r="K794" s="89"/>
      <c r="L794" s="89"/>
      <c r="M794" s="89"/>
      <c r="N794" s="89"/>
      <c r="O794" s="89"/>
      <c r="P794" s="89"/>
      <c r="Q794" s="89"/>
      <c r="R794" s="89"/>
      <c r="S794" s="89"/>
    </row>
    <row r="795" spans="1:19" s="14" customFormat="1" ht="14.1" customHeight="1">
      <c r="A795" s="374"/>
      <c r="B795" s="89"/>
      <c r="C795" s="89"/>
      <c r="D795" s="89"/>
      <c r="E795" s="200"/>
      <c r="F795" s="200"/>
      <c r="G795" s="200"/>
      <c r="H795" s="200"/>
      <c r="J795" s="89"/>
      <c r="K795" s="89"/>
      <c r="L795" s="89"/>
      <c r="M795" s="89"/>
      <c r="N795" s="89"/>
      <c r="O795" s="89"/>
      <c r="P795" s="89"/>
      <c r="Q795" s="89"/>
      <c r="R795" s="89"/>
      <c r="S795" s="89"/>
    </row>
    <row r="796" spans="1:19" s="14" customFormat="1" ht="14.1" customHeight="1">
      <c r="A796" s="374"/>
      <c r="B796" s="89"/>
      <c r="C796" s="89"/>
      <c r="D796" s="89"/>
      <c r="E796" s="200"/>
      <c r="F796" s="200"/>
      <c r="G796" s="200"/>
      <c r="H796" s="200"/>
      <c r="J796" s="89"/>
      <c r="K796" s="89"/>
      <c r="L796" s="89"/>
      <c r="M796" s="89"/>
      <c r="N796" s="89"/>
      <c r="O796" s="89"/>
      <c r="P796" s="89"/>
      <c r="Q796" s="89"/>
      <c r="R796" s="89"/>
      <c r="S796" s="89"/>
    </row>
    <row r="797" spans="1:19" s="14" customFormat="1" ht="14.1" customHeight="1">
      <c r="A797" s="374"/>
      <c r="B797" s="89"/>
      <c r="C797" s="89"/>
      <c r="D797" s="89"/>
      <c r="E797" s="200"/>
      <c r="F797" s="200"/>
      <c r="G797" s="200"/>
      <c r="H797" s="200"/>
      <c r="J797" s="89"/>
      <c r="K797" s="89"/>
      <c r="L797" s="89"/>
      <c r="M797" s="89"/>
      <c r="N797" s="89"/>
      <c r="O797" s="89"/>
      <c r="P797" s="89"/>
      <c r="Q797" s="89"/>
      <c r="R797" s="89"/>
      <c r="S797" s="89"/>
    </row>
    <row r="798" spans="1:19" s="14" customFormat="1" ht="14.1" customHeight="1">
      <c r="A798" s="374"/>
      <c r="B798" s="89"/>
      <c r="C798" s="89"/>
      <c r="D798" s="89"/>
      <c r="E798" s="200"/>
      <c r="F798" s="200"/>
      <c r="G798" s="200"/>
      <c r="H798" s="200"/>
      <c r="J798" s="89"/>
      <c r="K798" s="89"/>
      <c r="L798" s="89"/>
      <c r="M798" s="89"/>
      <c r="N798" s="89"/>
      <c r="O798" s="89"/>
      <c r="P798" s="89"/>
      <c r="Q798" s="89"/>
      <c r="R798" s="89"/>
      <c r="S798" s="89"/>
    </row>
    <row r="799" spans="1:19" s="14" customFormat="1" ht="14.1" customHeight="1">
      <c r="A799" s="374"/>
      <c r="B799" s="89"/>
      <c r="C799" s="89"/>
      <c r="D799" s="89"/>
      <c r="E799" s="200"/>
      <c r="F799" s="200"/>
      <c r="G799" s="200"/>
      <c r="H799" s="200"/>
      <c r="J799" s="89"/>
      <c r="K799" s="89"/>
      <c r="L799" s="89"/>
      <c r="M799" s="89"/>
      <c r="N799" s="89"/>
      <c r="O799" s="89"/>
      <c r="P799" s="89"/>
      <c r="Q799" s="89"/>
      <c r="R799" s="89"/>
      <c r="S799" s="89"/>
    </row>
    <row r="800" spans="1:19" s="14" customFormat="1" ht="14.1" customHeight="1">
      <c r="A800" s="374"/>
      <c r="B800" s="89"/>
      <c r="C800" s="89"/>
      <c r="D800" s="89"/>
      <c r="E800" s="200"/>
      <c r="F800" s="200"/>
      <c r="G800" s="200"/>
      <c r="H800" s="200"/>
      <c r="J800" s="89"/>
      <c r="K800" s="89"/>
      <c r="L800" s="89"/>
      <c r="M800" s="89"/>
      <c r="N800" s="89"/>
      <c r="O800" s="89"/>
      <c r="P800" s="89"/>
      <c r="Q800" s="89"/>
      <c r="R800" s="89"/>
      <c r="S800" s="89"/>
    </row>
    <row r="801" spans="1:19" s="14" customFormat="1" ht="14.1" customHeight="1">
      <c r="A801" s="374"/>
      <c r="B801" s="89"/>
      <c r="C801" s="89"/>
      <c r="D801" s="89"/>
      <c r="E801" s="200"/>
      <c r="F801" s="200"/>
      <c r="G801" s="200"/>
      <c r="H801" s="200"/>
      <c r="J801" s="89"/>
      <c r="K801" s="89"/>
      <c r="L801" s="89"/>
      <c r="M801" s="89"/>
      <c r="N801" s="89"/>
      <c r="O801" s="89"/>
      <c r="P801" s="89"/>
      <c r="Q801" s="89"/>
      <c r="R801" s="89"/>
      <c r="S801" s="89"/>
    </row>
    <row r="802" spans="1:19" s="14" customFormat="1" ht="14.1" customHeight="1">
      <c r="A802" s="374"/>
      <c r="B802" s="89"/>
      <c r="C802" s="89"/>
      <c r="D802" s="89"/>
      <c r="E802" s="200"/>
      <c r="F802" s="200"/>
      <c r="G802" s="200"/>
      <c r="H802" s="200"/>
      <c r="J802" s="89"/>
      <c r="K802" s="89"/>
      <c r="L802" s="89"/>
      <c r="M802" s="89"/>
      <c r="N802" s="89"/>
      <c r="O802" s="89"/>
      <c r="P802" s="89"/>
      <c r="Q802" s="89"/>
      <c r="R802" s="89"/>
      <c r="S802" s="89"/>
    </row>
    <row r="803" spans="1:19" s="14" customFormat="1" ht="14.1" customHeight="1">
      <c r="A803" s="374"/>
      <c r="B803" s="89"/>
      <c r="C803" s="89"/>
      <c r="D803" s="89"/>
      <c r="E803" s="200"/>
      <c r="F803" s="200"/>
      <c r="G803" s="200"/>
      <c r="H803" s="200"/>
      <c r="J803" s="89"/>
      <c r="K803" s="89"/>
      <c r="L803" s="89"/>
      <c r="M803" s="89"/>
      <c r="N803" s="89"/>
      <c r="O803" s="89"/>
      <c r="P803" s="89"/>
      <c r="Q803" s="89"/>
      <c r="R803" s="89"/>
      <c r="S803" s="89"/>
    </row>
    <row r="804" spans="1:19" s="14" customFormat="1" ht="14.1" customHeight="1">
      <c r="A804" s="374"/>
      <c r="B804" s="89"/>
      <c r="C804" s="89"/>
      <c r="D804" s="89"/>
      <c r="E804" s="200"/>
      <c r="F804" s="200"/>
      <c r="G804" s="200"/>
      <c r="H804" s="200"/>
      <c r="J804" s="89"/>
      <c r="K804" s="89"/>
      <c r="L804" s="89"/>
      <c r="M804" s="89"/>
      <c r="N804" s="89"/>
      <c r="O804" s="89"/>
      <c r="P804" s="89"/>
      <c r="Q804" s="89"/>
      <c r="R804" s="89"/>
      <c r="S804" s="89"/>
    </row>
    <row r="805" spans="1:19" s="14" customFormat="1" ht="14.1" customHeight="1">
      <c r="A805" s="374"/>
      <c r="B805" s="89"/>
      <c r="C805" s="89"/>
      <c r="D805" s="89"/>
      <c r="E805" s="200"/>
      <c r="F805" s="200"/>
      <c r="G805" s="200"/>
      <c r="H805" s="200"/>
      <c r="J805" s="89"/>
      <c r="K805" s="89"/>
      <c r="L805" s="89"/>
      <c r="M805" s="89"/>
      <c r="N805" s="89"/>
      <c r="O805" s="89"/>
      <c r="P805" s="89"/>
      <c r="Q805" s="89"/>
      <c r="R805" s="89"/>
      <c r="S805" s="89"/>
    </row>
    <row r="806" spans="1:19" s="14" customFormat="1" ht="14.1" customHeight="1">
      <c r="A806" s="374"/>
      <c r="B806" s="89"/>
      <c r="C806" s="89"/>
      <c r="D806" s="89"/>
      <c r="E806" s="200"/>
      <c r="F806" s="200"/>
      <c r="G806" s="200"/>
      <c r="H806" s="200"/>
      <c r="J806" s="89"/>
      <c r="K806" s="89"/>
      <c r="L806" s="89"/>
      <c r="M806" s="89"/>
      <c r="N806" s="89"/>
      <c r="O806" s="89"/>
      <c r="P806" s="89"/>
      <c r="Q806" s="89"/>
      <c r="R806" s="89"/>
      <c r="S806" s="89"/>
    </row>
    <row r="807" spans="1:19" s="14" customFormat="1" ht="14.1" customHeight="1">
      <c r="A807" s="374"/>
      <c r="B807" s="89"/>
      <c r="C807" s="89"/>
      <c r="D807" s="89"/>
      <c r="E807" s="200"/>
      <c r="F807" s="200"/>
      <c r="G807" s="200"/>
      <c r="H807" s="200"/>
      <c r="J807" s="89"/>
      <c r="K807" s="89"/>
      <c r="L807" s="89"/>
      <c r="M807" s="89"/>
      <c r="N807" s="89"/>
      <c r="O807" s="89"/>
      <c r="P807" s="89"/>
      <c r="Q807" s="89"/>
      <c r="R807" s="89"/>
      <c r="S807" s="89"/>
    </row>
    <row r="808" spans="1:19" s="14" customFormat="1" ht="14.1" customHeight="1">
      <c r="A808" s="374"/>
      <c r="B808" s="89"/>
      <c r="C808" s="89"/>
      <c r="D808" s="89"/>
      <c r="E808" s="200"/>
      <c r="F808" s="200"/>
      <c r="G808" s="200"/>
      <c r="H808" s="200"/>
      <c r="J808" s="89"/>
      <c r="K808" s="89"/>
      <c r="L808" s="89"/>
      <c r="M808" s="89"/>
      <c r="N808" s="89"/>
      <c r="O808" s="89"/>
      <c r="P808" s="89"/>
      <c r="Q808" s="89"/>
      <c r="R808" s="89"/>
      <c r="S808" s="89"/>
    </row>
    <row r="809" spans="1:19" s="14" customFormat="1" ht="14.1" customHeight="1">
      <c r="A809" s="374"/>
      <c r="B809" s="89"/>
      <c r="C809" s="89"/>
      <c r="D809" s="89"/>
      <c r="E809" s="200"/>
      <c r="F809" s="200"/>
      <c r="G809" s="200"/>
      <c r="H809" s="200"/>
      <c r="J809" s="89"/>
      <c r="K809" s="89"/>
      <c r="L809" s="89"/>
      <c r="M809" s="89"/>
      <c r="N809" s="89"/>
      <c r="O809" s="89"/>
      <c r="P809" s="89"/>
      <c r="Q809" s="89"/>
      <c r="R809" s="89"/>
      <c r="S809" s="89"/>
    </row>
    <row r="810" spans="1:19" s="14" customFormat="1" ht="14.1" customHeight="1">
      <c r="A810" s="374"/>
      <c r="B810" s="89"/>
      <c r="C810" s="89"/>
      <c r="D810" s="89"/>
      <c r="E810" s="200"/>
      <c r="F810" s="200"/>
      <c r="G810" s="200"/>
      <c r="H810" s="200"/>
      <c r="J810" s="89"/>
      <c r="K810" s="89"/>
      <c r="L810" s="89"/>
      <c r="M810" s="89"/>
      <c r="N810" s="89"/>
      <c r="O810" s="89"/>
      <c r="P810" s="89"/>
      <c r="Q810" s="89"/>
      <c r="R810" s="89"/>
      <c r="S810" s="89"/>
    </row>
    <row r="811" spans="1:19" s="14" customFormat="1" ht="14.1" customHeight="1">
      <c r="A811" s="374"/>
      <c r="B811" s="89"/>
      <c r="C811" s="89"/>
      <c r="D811" s="89"/>
      <c r="E811" s="200"/>
      <c r="F811" s="200"/>
      <c r="G811" s="200"/>
      <c r="H811" s="200"/>
      <c r="J811" s="89"/>
      <c r="K811" s="89"/>
      <c r="L811" s="89"/>
      <c r="M811" s="89"/>
      <c r="N811" s="89"/>
      <c r="O811" s="89"/>
      <c r="P811" s="89"/>
      <c r="Q811" s="89"/>
      <c r="R811" s="89"/>
      <c r="S811" s="89"/>
    </row>
    <row r="812" spans="1:19" s="14" customFormat="1" ht="14.1" customHeight="1">
      <c r="A812" s="374"/>
      <c r="B812" s="89"/>
      <c r="C812" s="89"/>
      <c r="D812" s="89"/>
      <c r="E812" s="200"/>
      <c r="F812" s="200"/>
      <c r="G812" s="200"/>
      <c r="H812" s="200"/>
      <c r="J812" s="89"/>
      <c r="K812" s="89"/>
      <c r="L812" s="89"/>
      <c r="M812" s="89"/>
      <c r="N812" s="89"/>
      <c r="O812" s="89"/>
      <c r="P812" s="89"/>
      <c r="Q812" s="89"/>
      <c r="R812" s="89"/>
      <c r="S812" s="89"/>
    </row>
    <row r="813" spans="1:19" s="14" customFormat="1" ht="14.1" customHeight="1">
      <c r="A813" s="374"/>
      <c r="B813" s="89"/>
      <c r="C813" s="89"/>
      <c r="D813" s="89"/>
      <c r="E813" s="200"/>
      <c r="F813" s="200"/>
      <c r="G813" s="200"/>
      <c r="H813" s="200"/>
      <c r="J813" s="89"/>
      <c r="K813" s="89"/>
      <c r="L813" s="89"/>
      <c r="M813" s="89"/>
      <c r="N813" s="89"/>
      <c r="O813" s="89"/>
      <c r="P813" s="89"/>
      <c r="Q813" s="89"/>
      <c r="R813" s="89"/>
      <c r="S813" s="89"/>
    </row>
    <row r="814" spans="1:19" s="14" customFormat="1" ht="14.1" customHeight="1">
      <c r="A814" s="374"/>
      <c r="B814" s="89"/>
      <c r="C814" s="89"/>
      <c r="D814" s="89"/>
      <c r="E814" s="200"/>
      <c r="F814" s="200"/>
      <c r="G814" s="200"/>
      <c r="H814" s="200"/>
      <c r="J814" s="89"/>
      <c r="K814" s="89"/>
      <c r="L814" s="89"/>
      <c r="M814" s="89"/>
      <c r="N814" s="89"/>
      <c r="O814" s="89"/>
      <c r="P814" s="89"/>
      <c r="Q814" s="89"/>
      <c r="R814" s="89"/>
      <c r="S814" s="89"/>
    </row>
    <row r="815" spans="1:19" s="14" customFormat="1" ht="14.1" customHeight="1">
      <c r="A815" s="374"/>
      <c r="B815" s="89"/>
      <c r="C815" s="89"/>
      <c r="D815" s="89"/>
      <c r="E815" s="200"/>
      <c r="F815" s="200"/>
      <c r="G815" s="200"/>
      <c r="H815" s="200"/>
      <c r="J815" s="89"/>
      <c r="K815" s="89"/>
      <c r="L815" s="89"/>
      <c r="M815" s="89"/>
      <c r="N815" s="89"/>
      <c r="O815" s="89"/>
      <c r="P815" s="89"/>
      <c r="Q815" s="89"/>
      <c r="R815" s="89"/>
      <c r="S815" s="89"/>
    </row>
    <row r="816" spans="1:19" s="14" customFormat="1" ht="14.1" customHeight="1">
      <c r="A816" s="374"/>
      <c r="B816" s="89"/>
      <c r="C816" s="89"/>
      <c r="D816" s="89"/>
      <c r="E816" s="200"/>
      <c r="F816" s="200"/>
      <c r="G816" s="200"/>
      <c r="H816" s="200"/>
      <c r="J816" s="89"/>
      <c r="K816" s="89"/>
      <c r="L816" s="89"/>
      <c r="M816" s="89"/>
      <c r="N816" s="89"/>
      <c r="O816" s="89"/>
      <c r="P816" s="89"/>
      <c r="Q816" s="89"/>
      <c r="R816" s="89"/>
      <c r="S816" s="89"/>
    </row>
    <row r="817" spans="1:19" s="14" customFormat="1" ht="14.1" customHeight="1">
      <c r="A817" s="374"/>
      <c r="B817" s="89"/>
      <c r="C817" s="89"/>
      <c r="D817" s="89"/>
      <c r="E817" s="200"/>
      <c r="F817" s="200"/>
      <c r="G817" s="200"/>
      <c r="H817" s="200"/>
      <c r="J817" s="89"/>
      <c r="K817" s="89"/>
      <c r="L817" s="89"/>
      <c r="M817" s="89"/>
      <c r="N817" s="89"/>
      <c r="O817" s="89"/>
      <c r="P817" s="89"/>
      <c r="Q817" s="89"/>
      <c r="R817" s="89"/>
      <c r="S817" s="89"/>
    </row>
    <row r="818" spans="1:19" s="14" customFormat="1" ht="14.1" customHeight="1">
      <c r="A818" s="374"/>
      <c r="B818" s="89"/>
      <c r="C818" s="89"/>
      <c r="D818" s="89"/>
      <c r="E818" s="200"/>
      <c r="F818" s="200"/>
      <c r="G818" s="200"/>
      <c r="H818" s="200"/>
      <c r="J818" s="89"/>
      <c r="K818" s="89"/>
      <c r="L818" s="89"/>
      <c r="M818" s="89"/>
      <c r="N818" s="89"/>
      <c r="O818" s="89"/>
      <c r="P818" s="89"/>
      <c r="Q818" s="89"/>
      <c r="R818" s="89"/>
      <c r="S818" s="89"/>
    </row>
    <row r="819" spans="1:19" s="14" customFormat="1" ht="14.1" customHeight="1">
      <c r="A819" s="374"/>
      <c r="B819" s="89"/>
      <c r="C819" s="89"/>
      <c r="D819" s="89"/>
      <c r="E819" s="200"/>
      <c r="F819" s="200"/>
      <c r="G819" s="200"/>
      <c r="H819" s="200"/>
      <c r="J819" s="89"/>
      <c r="K819" s="89"/>
      <c r="L819" s="89"/>
      <c r="M819" s="89"/>
      <c r="N819" s="89"/>
      <c r="O819" s="89"/>
      <c r="P819" s="89"/>
      <c r="Q819" s="89"/>
      <c r="R819" s="89"/>
      <c r="S819" s="89"/>
    </row>
    <row r="820" spans="1:19" s="14" customFormat="1" ht="14.1" customHeight="1">
      <c r="A820" s="374"/>
      <c r="B820" s="89"/>
      <c r="C820" s="89"/>
      <c r="D820" s="89"/>
      <c r="E820" s="200"/>
      <c r="F820" s="200"/>
      <c r="G820" s="200"/>
      <c r="H820" s="200"/>
      <c r="J820" s="89"/>
      <c r="K820" s="89"/>
      <c r="L820" s="89"/>
      <c r="M820" s="89"/>
      <c r="N820" s="89"/>
      <c r="O820" s="89"/>
      <c r="P820" s="89"/>
      <c r="Q820" s="89"/>
      <c r="R820" s="89"/>
      <c r="S820" s="89"/>
    </row>
    <row r="821" spans="1:19" s="14" customFormat="1" ht="14.1" customHeight="1">
      <c r="A821" s="374"/>
      <c r="B821" s="89"/>
      <c r="C821" s="89"/>
      <c r="D821" s="89"/>
      <c r="E821" s="200"/>
      <c r="F821" s="200"/>
      <c r="G821" s="200"/>
      <c r="H821" s="200"/>
      <c r="J821" s="89"/>
      <c r="K821" s="89"/>
      <c r="L821" s="89"/>
      <c r="M821" s="89"/>
      <c r="N821" s="89"/>
      <c r="O821" s="89"/>
      <c r="P821" s="89"/>
      <c r="Q821" s="89"/>
      <c r="R821" s="89"/>
      <c r="S821" s="89"/>
    </row>
    <row r="822" spans="1:19" s="14" customFormat="1" ht="14.1" customHeight="1">
      <c r="A822" s="374"/>
      <c r="B822" s="89"/>
      <c r="C822" s="89"/>
      <c r="D822" s="89"/>
      <c r="E822" s="200"/>
      <c r="F822" s="200"/>
      <c r="G822" s="200"/>
      <c r="H822" s="200"/>
      <c r="J822" s="89"/>
      <c r="K822" s="89"/>
      <c r="L822" s="89"/>
      <c r="M822" s="89"/>
      <c r="N822" s="89"/>
      <c r="O822" s="89"/>
      <c r="P822" s="89"/>
      <c r="Q822" s="89"/>
      <c r="R822" s="89"/>
      <c r="S822" s="89"/>
    </row>
    <row r="823" spans="1:19" s="14" customFormat="1" ht="14.1" customHeight="1">
      <c r="A823" s="374"/>
      <c r="B823" s="89"/>
      <c r="C823" s="89"/>
      <c r="D823" s="89"/>
      <c r="E823" s="200"/>
      <c r="F823" s="200"/>
      <c r="G823" s="200"/>
      <c r="H823" s="200"/>
      <c r="J823" s="89"/>
      <c r="K823" s="89"/>
      <c r="L823" s="89"/>
      <c r="M823" s="89"/>
      <c r="N823" s="89"/>
      <c r="O823" s="89"/>
      <c r="P823" s="89"/>
      <c r="Q823" s="89"/>
      <c r="R823" s="89"/>
      <c r="S823" s="89"/>
    </row>
    <row r="824" spans="1:19" s="14" customFormat="1" ht="14.1" customHeight="1">
      <c r="A824" s="374"/>
      <c r="B824" s="89"/>
      <c r="C824" s="89"/>
      <c r="D824" s="89"/>
      <c r="E824" s="200"/>
      <c r="F824" s="200"/>
      <c r="G824" s="200"/>
      <c r="H824" s="200"/>
      <c r="J824" s="89"/>
      <c r="K824" s="89"/>
      <c r="L824" s="89"/>
      <c r="M824" s="89"/>
      <c r="N824" s="89"/>
      <c r="O824" s="89"/>
      <c r="P824" s="89"/>
      <c r="Q824" s="89"/>
      <c r="R824" s="89"/>
      <c r="S824" s="89"/>
    </row>
    <row r="825" spans="1:19" s="14" customFormat="1" ht="14.1" customHeight="1">
      <c r="A825" s="374"/>
      <c r="B825" s="89"/>
      <c r="C825" s="89"/>
      <c r="D825" s="89"/>
      <c r="E825" s="200"/>
      <c r="F825" s="200"/>
      <c r="G825" s="200"/>
      <c r="H825" s="200"/>
      <c r="J825" s="89"/>
      <c r="K825" s="89"/>
      <c r="L825" s="89"/>
      <c r="M825" s="89"/>
      <c r="N825" s="89"/>
      <c r="O825" s="89"/>
      <c r="P825" s="89"/>
      <c r="Q825" s="89"/>
      <c r="R825" s="89"/>
      <c r="S825" s="89"/>
    </row>
    <row r="826" spans="1:19" s="14" customFormat="1" ht="14.1" customHeight="1">
      <c r="A826" s="374"/>
      <c r="B826" s="89"/>
      <c r="C826" s="89"/>
      <c r="D826" s="89"/>
      <c r="E826" s="200"/>
      <c r="F826" s="200"/>
      <c r="G826" s="200"/>
      <c r="H826" s="200"/>
      <c r="J826" s="89"/>
      <c r="K826" s="89"/>
      <c r="L826" s="89"/>
      <c r="M826" s="89"/>
      <c r="N826" s="89"/>
      <c r="O826" s="89"/>
      <c r="P826" s="89"/>
      <c r="Q826" s="89"/>
      <c r="R826" s="89"/>
      <c r="S826" s="89"/>
    </row>
    <row r="827" spans="1:19" s="14" customFormat="1" ht="14.1" customHeight="1">
      <c r="A827" s="374"/>
      <c r="B827" s="89"/>
      <c r="C827" s="89"/>
      <c r="D827" s="89"/>
      <c r="E827" s="200"/>
      <c r="F827" s="200"/>
      <c r="G827" s="200"/>
      <c r="H827" s="200"/>
      <c r="J827" s="89"/>
      <c r="K827" s="89"/>
      <c r="L827" s="89"/>
      <c r="M827" s="89"/>
      <c r="N827" s="89"/>
      <c r="O827" s="89"/>
      <c r="P827" s="89"/>
      <c r="Q827" s="89"/>
      <c r="R827" s="89"/>
      <c r="S827" s="89"/>
    </row>
    <row r="828" spans="1:19" s="14" customFormat="1" ht="14.1" customHeight="1">
      <c r="A828" s="374"/>
      <c r="B828" s="89"/>
      <c r="C828" s="89"/>
      <c r="D828" s="89"/>
      <c r="E828" s="200"/>
      <c r="F828" s="200"/>
      <c r="G828" s="200"/>
      <c r="H828" s="200"/>
      <c r="J828" s="89"/>
      <c r="K828" s="89"/>
      <c r="L828" s="89"/>
      <c r="M828" s="89"/>
      <c r="N828" s="89"/>
      <c r="O828" s="89"/>
      <c r="P828" s="89"/>
      <c r="Q828" s="89"/>
      <c r="R828" s="89"/>
      <c r="S828" s="89"/>
    </row>
    <row r="829" spans="1:19" s="14" customFormat="1" ht="14.1" customHeight="1">
      <c r="A829" s="374"/>
      <c r="B829" s="89"/>
      <c r="C829" s="89"/>
      <c r="D829" s="89"/>
      <c r="E829" s="200"/>
      <c r="F829" s="200"/>
      <c r="G829" s="200"/>
      <c r="H829" s="200"/>
      <c r="J829" s="89"/>
      <c r="K829" s="89"/>
      <c r="L829" s="89"/>
      <c r="M829" s="89"/>
      <c r="N829" s="89"/>
      <c r="O829" s="89"/>
      <c r="P829" s="89"/>
      <c r="Q829" s="89"/>
      <c r="R829" s="89"/>
      <c r="S829" s="89"/>
    </row>
    <row r="830" spans="1:19" s="14" customFormat="1" ht="14.1" customHeight="1">
      <c r="A830" s="374"/>
      <c r="B830" s="89"/>
      <c r="C830" s="89"/>
      <c r="D830" s="89"/>
      <c r="E830" s="200"/>
      <c r="F830" s="200"/>
      <c r="G830" s="200"/>
      <c r="H830" s="200"/>
      <c r="J830" s="89"/>
      <c r="K830" s="89"/>
      <c r="L830" s="89"/>
      <c r="M830" s="89"/>
      <c r="N830" s="89"/>
      <c r="O830" s="89"/>
      <c r="P830" s="89"/>
      <c r="Q830" s="89"/>
      <c r="R830" s="89"/>
      <c r="S830" s="89"/>
    </row>
    <row r="831" spans="1:19" s="14" customFormat="1" ht="14.1" customHeight="1">
      <c r="A831" s="374"/>
      <c r="B831" s="89"/>
      <c r="C831" s="89"/>
      <c r="D831" s="89"/>
      <c r="E831" s="200"/>
      <c r="F831" s="200"/>
      <c r="G831" s="200"/>
      <c r="H831" s="200"/>
      <c r="J831" s="89"/>
      <c r="K831" s="89"/>
      <c r="L831" s="89"/>
      <c r="M831" s="89"/>
      <c r="N831" s="89"/>
      <c r="O831" s="89"/>
      <c r="P831" s="89"/>
      <c r="Q831" s="89"/>
      <c r="R831" s="89"/>
      <c r="S831" s="89"/>
    </row>
    <row r="832" spans="1:19" s="14" customFormat="1" ht="14.1" customHeight="1">
      <c r="A832" s="374"/>
      <c r="B832" s="89"/>
      <c r="C832" s="89"/>
      <c r="D832" s="89"/>
      <c r="E832" s="200"/>
      <c r="F832" s="200"/>
      <c r="G832" s="200"/>
      <c r="H832" s="200"/>
      <c r="J832" s="89"/>
      <c r="K832" s="89"/>
      <c r="L832" s="89"/>
      <c r="M832" s="89"/>
      <c r="N832" s="89"/>
      <c r="O832" s="89"/>
      <c r="P832" s="89"/>
      <c r="Q832" s="89"/>
      <c r="R832" s="89"/>
      <c r="S832" s="89"/>
    </row>
    <row r="833" spans="1:19" s="14" customFormat="1" ht="14.1" customHeight="1">
      <c r="A833" s="374"/>
      <c r="B833" s="89"/>
      <c r="C833" s="89"/>
      <c r="D833" s="89"/>
      <c r="E833" s="200"/>
      <c r="F833" s="200"/>
      <c r="G833" s="200"/>
      <c r="H833" s="200"/>
      <c r="J833" s="89"/>
      <c r="K833" s="89"/>
      <c r="L833" s="89"/>
      <c r="M833" s="89"/>
      <c r="N833" s="89"/>
      <c r="O833" s="89"/>
      <c r="P833" s="89"/>
      <c r="Q833" s="89"/>
      <c r="R833" s="89"/>
      <c r="S833" s="89"/>
    </row>
    <row r="834" spans="1:19" s="14" customFormat="1" ht="14.1" customHeight="1">
      <c r="A834" s="374"/>
      <c r="B834" s="89"/>
      <c r="C834" s="89"/>
      <c r="D834" s="89"/>
      <c r="E834" s="200"/>
      <c r="F834" s="200"/>
      <c r="G834" s="200"/>
      <c r="H834" s="200"/>
      <c r="J834" s="89"/>
      <c r="K834" s="89"/>
      <c r="L834" s="89"/>
      <c r="M834" s="89"/>
      <c r="N834" s="89"/>
      <c r="O834" s="89"/>
      <c r="P834" s="89"/>
      <c r="Q834" s="89"/>
      <c r="R834" s="89"/>
      <c r="S834" s="89"/>
    </row>
    <row r="835" spans="1:19" s="14" customFormat="1" ht="14.1" customHeight="1">
      <c r="A835" s="374"/>
      <c r="B835" s="89"/>
      <c r="C835" s="89"/>
      <c r="D835" s="89"/>
      <c r="E835" s="200"/>
      <c r="F835" s="200"/>
      <c r="G835" s="200"/>
      <c r="H835" s="200"/>
      <c r="J835" s="89"/>
      <c r="K835" s="89"/>
      <c r="L835" s="89"/>
      <c r="M835" s="89"/>
      <c r="N835" s="89"/>
      <c r="O835" s="89"/>
      <c r="P835" s="89"/>
      <c r="Q835" s="89"/>
      <c r="R835" s="89"/>
      <c r="S835" s="89"/>
    </row>
    <row r="836" spans="1:19" s="14" customFormat="1" ht="14.1" customHeight="1">
      <c r="A836" s="374"/>
      <c r="B836" s="89"/>
      <c r="C836" s="89"/>
      <c r="D836" s="89"/>
      <c r="E836" s="200"/>
      <c r="F836" s="200"/>
      <c r="G836" s="200"/>
      <c r="H836" s="200"/>
      <c r="J836" s="89"/>
      <c r="K836" s="89"/>
      <c r="L836" s="89"/>
      <c r="M836" s="89"/>
      <c r="N836" s="89"/>
      <c r="O836" s="89"/>
      <c r="P836" s="89"/>
      <c r="Q836" s="89"/>
      <c r="R836" s="89"/>
      <c r="S836" s="89"/>
    </row>
    <row r="837" spans="1:19" s="14" customFormat="1" ht="14.1" customHeight="1">
      <c r="A837" s="374"/>
      <c r="B837" s="89"/>
      <c r="C837" s="89"/>
      <c r="D837" s="89"/>
      <c r="E837" s="200"/>
      <c r="F837" s="200"/>
      <c r="G837" s="200"/>
      <c r="H837" s="200"/>
      <c r="J837" s="89"/>
      <c r="K837" s="89"/>
      <c r="L837" s="89"/>
      <c r="M837" s="89"/>
      <c r="N837" s="89"/>
      <c r="O837" s="89"/>
      <c r="P837" s="89"/>
      <c r="Q837" s="89"/>
      <c r="R837" s="89"/>
      <c r="S837" s="89"/>
    </row>
    <row r="838" spans="1:19" s="14" customFormat="1" ht="14.1" customHeight="1">
      <c r="A838" s="374"/>
      <c r="B838" s="89"/>
      <c r="C838" s="89"/>
      <c r="D838" s="89"/>
      <c r="E838" s="200"/>
      <c r="F838" s="200"/>
      <c r="G838" s="200"/>
      <c r="H838" s="200"/>
      <c r="J838" s="89"/>
      <c r="K838" s="89"/>
      <c r="L838" s="89"/>
      <c r="M838" s="89"/>
      <c r="N838" s="89"/>
      <c r="O838" s="89"/>
      <c r="P838" s="89"/>
      <c r="Q838" s="89"/>
      <c r="R838" s="89"/>
      <c r="S838" s="89"/>
    </row>
    <row r="839" spans="1:19" s="14" customFormat="1" ht="14.1" customHeight="1">
      <c r="A839" s="374"/>
      <c r="B839" s="89"/>
      <c r="C839" s="89"/>
      <c r="D839" s="89"/>
      <c r="E839" s="200"/>
      <c r="F839" s="200"/>
      <c r="G839" s="200"/>
      <c r="H839" s="200"/>
      <c r="J839" s="89"/>
      <c r="K839" s="89"/>
      <c r="L839" s="89"/>
      <c r="M839" s="89"/>
      <c r="N839" s="89"/>
      <c r="O839" s="89"/>
      <c r="P839" s="89"/>
      <c r="Q839" s="89"/>
      <c r="R839" s="89"/>
      <c r="S839" s="89"/>
    </row>
    <row r="840" spans="1:19" s="14" customFormat="1" ht="14.1" customHeight="1">
      <c r="A840" s="374"/>
      <c r="B840" s="89"/>
      <c r="C840" s="89"/>
      <c r="D840" s="89"/>
      <c r="E840" s="200"/>
      <c r="F840" s="200"/>
      <c r="G840" s="200"/>
      <c r="H840" s="200"/>
      <c r="J840" s="89"/>
      <c r="K840" s="89"/>
      <c r="L840" s="89"/>
      <c r="M840" s="89"/>
      <c r="N840" s="89"/>
      <c r="O840" s="89"/>
      <c r="P840" s="89"/>
      <c r="Q840" s="89"/>
      <c r="R840" s="89"/>
      <c r="S840" s="89"/>
    </row>
    <row r="841" spans="1:19" s="14" customFormat="1" ht="14.1" customHeight="1">
      <c r="A841" s="374"/>
      <c r="B841" s="89"/>
      <c r="C841" s="89"/>
      <c r="D841" s="89"/>
      <c r="E841" s="200"/>
      <c r="F841" s="200"/>
      <c r="G841" s="200"/>
      <c r="H841" s="200"/>
      <c r="J841" s="89"/>
      <c r="K841" s="89"/>
      <c r="L841" s="89"/>
      <c r="M841" s="89"/>
      <c r="N841" s="89"/>
      <c r="O841" s="89"/>
      <c r="P841" s="89"/>
      <c r="Q841" s="89"/>
      <c r="R841" s="89"/>
      <c r="S841" s="89"/>
    </row>
    <row r="842" spans="1:19" s="14" customFormat="1" ht="14.1" customHeight="1">
      <c r="A842" s="374"/>
      <c r="B842" s="89"/>
      <c r="C842" s="89"/>
      <c r="D842" s="89"/>
      <c r="E842" s="200"/>
      <c r="F842" s="200"/>
      <c r="G842" s="200"/>
      <c r="H842" s="200"/>
      <c r="J842" s="89"/>
      <c r="K842" s="89"/>
      <c r="L842" s="89"/>
      <c r="M842" s="89"/>
      <c r="N842" s="89"/>
      <c r="O842" s="89"/>
      <c r="P842" s="89"/>
      <c r="Q842" s="89"/>
      <c r="R842" s="89"/>
      <c r="S842" s="89"/>
    </row>
    <row r="843" spans="1:19" s="14" customFormat="1" ht="14.1" customHeight="1">
      <c r="A843" s="374"/>
      <c r="B843" s="89"/>
      <c r="C843" s="89"/>
      <c r="D843" s="89"/>
      <c r="E843" s="200"/>
      <c r="F843" s="200"/>
      <c r="G843" s="200"/>
      <c r="H843" s="200"/>
      <c r="J843" s="89"/>
      <c r="K843" s="89"/>
      <c r="L843" s="89"/>
      <c r="M843" s="89"/>
      <c r="N843" s="89"/>
      <c r="O843" s="89"/>
      <c r="P843" s="89"/>
      <c r="Q843" s="89"/>
      <c r="R843" s="89"/>
      <c r="S843" s="89"/>
    </row>
    <row r="844" spans="1:19" s="14" customFormat="1" ht="14.1" customHeight="1">
      <c r="A844" s="374"/>
      <c r="B844" s="89"/>
      <c r="C844" s="89"/>
      <c r="D844" s="89"/>
      <c r="E844" s="200"/>
      <c r="F844" s="200"/>
      <c r="G844" s="200"/>
      <c r="H844" s="200"/>
      <c r="J844" s="89"/>
      <c r="K844" s="89"/>
      <c r="L844" s="89"/>
      <c r="M844" s="89"/>
      <c r="N844" s="89"/>
      <c r="O844" s="89"/>
      <c r="P844" s="89"/>
      <c r="Q844" s="89"/>
      <c r="R844" s="89"/>
      <c r="S844" s="89"/>
    </row>
    <row r="845" spans="1:19" s="14" customFormat="1" ht="14.1" customHeight="1">
      <c r="A845" s="374"/>
      <c r="B845" s="89"/>
      <c r="C845" s="89"/>
      <c r="D845" s="89"/>
      <c r="E845" s="200"/>
      <c r="F845" s="200"/>
      <c r="G845" s="200"/>
      <c r="H845" s="200"/>
      <c r="J845" s="89"/>
      <c r="K845" s="89"/>
      <c r="L845" s="89"/>
      <c r="M845" s="89"/>
      <c r="N845" s="89"/>
      <c r="O845" s="89"/>
      <c r="P845" s="89"/>
      <c r="Q845" s="89"/>
      <c r="R845" s="89"/>
      <c r="S845" s="89"/>
    </row>
    <row r="846" spans="1:19" s="14" customFormat="1" ht="14.1" customHeight="1">
      <c r="A846" s="374"/>
      <c r="B846" s="89"/>
      <c r="C846" s="89"/>
      <c r="D846" s="89"/>
      <c r="E846" s="200"/>
      <c r="F846" s="200"/>
      <c r="G846" s="200"/>
      <c r="H846" s="200"/>
      <c r="J846" s="89"/>
      <c r="K846" s="89"/>
      <c r="L846" s="89"/>
      <c r="M846" s="89"/>
      <c r="N846" s="89"/>
      <c r="O846" s="89"/>
      <c r="P846" s="89"/>
      <c r="Q846" s="89"/>
      <c r="R846" s="89"/>
      <c r="S846" s="89"/>
    </row>
    <row r="847" spans="1:19" s="14" customFormat="1" ht="14.1" customHeight="1">
      <c r="A847" s="374"/>
      <c r="B847" s="89"/>
      <c r="C847" s="89"/>
      <c r="D847" s="89"/>
      <c r="E847" s="200"/>
      <c r="F847" s="200"/>
      <c r="G847" s="200"/>
      <c r="H847" s="200"/>
      <c r="J847" s="89"/>
      <c r="K847" s="89"/>
      <c r="L847" s="89"/>
      <c r="M847" s="89"/>
      <c r="N847" s="89"/>
      <c r="O847" s="89"/>
      <c r="P847" s="89"/>
      <c r="Q847" s="89"/>
      <c r="R847" s="89"/>
      <c r="S847" s="89"/>
    </row>
    <row r="848" spans="1:19" s="14" customFormat="1" ht="14.1" customHeight="1">
      <c r="A848" s="374"/>
      <c r="B848" s="89"/>
      <c r="C848" s="89"/>
      <c r="D848" s="89"/>
      <c r="E848" s="200"/>
      <c r="F848" s="200"/>
      <c r="G848" s="200"/>
      <c r="H848" s="200"/>
      <c r="J848" s="89"/>
      <c r="K848" s="89"/>
      <c r="L848" s="89"/>
      <c r="M848" s="89"/>
      <c r="N848" s="89"/>
      <c r="O848" s="89"/>
      <c r="P848" s="89"/>
      <c r="Q848" s="89"/>
      <c r="R848" s="89"/>
      <c r="S848" s="89"/>
    </row>
    <row r="849" spans="1:19" s="14" customFormat="1" ht="14.1" customHeight="1">
      <c r="A849" s="374"/>
      <c r="B849" s="89"/>
      <c r="C849" s="89"/>
      <c r="D849" s="89"/>
      <c r="E849" s="200"/>
      <c r="F849" s="200"/>
      <c r="G849" s="200"/>
      <c r="H849" s="200"/>
      <c r="J849" s="89"/>
      <c r="K849" s="89"/>
      <c r="L849" s="89"/>
      <c r="M849" s="89"/>
      <c r="N849" s="89"/>
      <c r="O849" s="89"/>
      <c r="P849" s="89"/>
      <c r="Q849" s="89"/>
      <c r="R849" s="89"/>
      <c r="S849" s="89"/>
    </row>
    <row r="850" spans="1:19" s="14" customFormat="1" ht="14.1" customHeight="1">
      <c r="A850" s="374"/>
      <c r="B850" s="89"/>
      <c r="C850" s="89"/>
      <c r="D850" s="89"/>
      <c r="E850" s="200"/>
      <c r="F850" s="200"/>
      <c r="G850" s="200"/>
      <c r="H850" s="200"/>
      <c r="J850" s="89"/>
      <c r="K850" s="89"/>
      <c r="L850" s="89"/>
      <c r="M850" s="89"/>
      <c r="N850" s="89"/>
      <c r="O850" s="89"/>
      <c r="P850" s="89"/>
      <c r="Q850" s="89"/>
      <c r="R850" s="89"/>
      <c r="S850" s="89"/>
    </row>
    <row r="851" spans="1:19" s="14" customFormat="1" ht="14.1" customHeight="1">
      <c r="A851" s="374"/>
      <c r="B851" s="89"/>
      <c r="C851" s="89"/>
      <c r="D851" s="89"/>
      <c r="E851" s="200"/>
      <c r="F851" s="200"/>
      <c r="G851" s="200"/>
      <c r="H851" s="200"/>
      <c r="J851" s="89"/>
      <c r="K851" s="89"/>
      <c r="L851" s="89"/>
      <c r="M851" s="89"/>
      <c r="N851" s="89"/>
      <c r="O851" s="89"/>
      <c r="P851" s="89"/>
      <c r="Q851" s="89"/>
      <c r="R851" s="89"/>
      <c r="S851" s="89"/>
    </row>
    <row r="852" spans="1:19" s="14" customFormat="1" ht="14.1" customHeight="1">
      <c r="A852" s="374"/>
      <c r="B852" s="89"/>
      <c r="C852" s="89"/>
      <c r="D852" s="89"/>
      <c r="E852" s="200"/>
      <c r="F852" s="200"/>
      <c r="G852" s="200"/>
      <c r="H852" s="200"/>
      <c r="J852" s="89"/>
      <c r="K852" s="89"/>
      <c r="L852" s="89"/>
      <c r="M852" s="89"/>
      <c r="N852" s="89"/>
      <c r="O852" s="89"/>
      <c r="P852" s="89"/>
      <c r="Q852" s="89"/>
      <c r="R852" s="89"/>
      <c r="S852" s="89"/>
    </row>
    <row r="853" spans="1:19" s="14" customFormat="1" ht="14.1" customHeight="1">
      <c r="A853" s="374"/>
      <c r="B853" s="89"/>
      <c r="C853" s="89"/>
      <c r="D853" s="89"/>
      <c r="E853" s="200"/>
      <c r="F853" s="200"/>
      <c r="G853" s="200"/>
      <c r="H853" s="200"/>
      <c r="J853" s="89"/>
      <c r="K853" s="89"/>
      <c r="L853" s="89"/>
      <c r="M853" s="89"/>
      <c r="N853" s="89"/>
      <c r="O853" s="89"/>
      <c r="P853" s="89"/>
      <c r="Q853" s="89"/>
      <c r="R853" s="89"/>
      <c r="S853" s="89"/>
    </row>
    <row r="854" spans="1:19" s="14" customFormat="1" ht="14.1" customHeight="1">
      <c r="A854" s="374"/>
      <c r="B854" s="89"/>
      <c r="C854" s="89"/>
      <c r="D854" s="89"/>
      <c r="E854" s="200"/>
      <c r="F854" s="200"/>
      <c r="G854" s="200"/>
      <c r="H854" s="200"/>
      <c r="J854" s="89"/>
      <c r="K854" s="89"/>
      <c r="L854" s="89"/>
      <c r="M854" s="89"/>
      <c r="N854" s="89"/>
      <c r="O854" s="89"/>
      <c r="P854" s="89"/>
      <c r="Q854" s="89"/>
      <c r="R854" s="89"/>
      <c r="S854" s="89"/>
    </row>
    <row r="855" spans="1:19" s="14" customFormat="1" ht="14.1" customHeight="1">
      <c r="A855" s="374"/>
      <c r="B855" s="89"/>
      <c r="C855" s="89"/>
      <c r="D855" s="89"/>
      <c r="E855" s="200"/>
      <c r="F855" s="200"/>
      <c r="G855" s="200"/>
      <c r="H855" s="200"/>
      <c r="J855" s="89"/>
      <c r="K855" s="89"/>
      <c r="L855" s="89"/>
      <c r="M855" s="89"/>
      <c r="N855" s="89"/>
      <c r="O855" s="89"/>
      <c r="P855" s="89"/>
      <c r="Q855" s="89"/>
      <c r="R855" s="89"/>
      <c r="S855" s="89"/>
    </row>
    <row r="856" spans="1:19" s="14" customFormat="1" ht="14.1" customHeight="1">
      <c r="A856" s="374"/>
      <c r="B856" s="89"/>
      <c r="C856" s="89"/>
      <c r="D856" s="89"/>
      <c r="E856" s="200"/>
      <c r="F856" s="200"/>
      <c r="G856" s="200"/>
      <c r="H856" s="200"/>
      <c r="J856" s="89"/>
      <c r="K856" s="89"/>
      <c r="L856" s="89"/>
      <c r="M856" s="89"/>
      <c r="N856" s="89"/>
      <c r="O856" s="89"/>
      <c r="P856" s="89"/>
      <c r="Q856" s="89"/>
      <c r="R856" s="89"/>
      <c r="S856" s="89"/>
    </row>
    <row r="857" spans="1:19" s="14" customFormat="1" ht="14.1" customHeight="1">
      <c r="A857" s="374"/>
      <c r="B857" s="89"/>
      <c r="C857" s="89"/>
      <c r="D857" s="89"/>
      <c r="E857" s="200"/>
      <c r="F857" s="200"/>
      <c r="G857" s="200"/>
      <c r="H857" s="200"/>
      <c r="J857" s="89"/>
      <c r="K857" s="89"/>
      <c r="L857" s="89"/>
      <c r="M857" s="89"/>
      <c r="N857" s="89"/>
      <c r="O857" s="89"/>
      <c r="P857" s="89"/>
      <c r="Q857" s="89"/>
      <c r="R857" s="89"/>
      <c r="S857" s="89"/>
    </row>
    <row r="858" spans="1:19" s="14" customFormat="1" ht="14.1" customHeight="1">
      <c r="A858" s="374"/>
      <c r="B858" s="89"/>
      <c r="C858" s="89"/>
      <c r="D858" s="89"/>
      <c r="E858" s="200"/>
      <c r="F858" s="200"/>
      <c r="G858" s="200"/>
      <c r="H858" s="200"/>
      <c r="J858" s="89"/>
      <c r="K858" s="89"/>
      <c r="L858" s="89"/>
      <c r="M858" s="89"/>
      <c r="N858" s="89"/>
      <c r="O858" s="89"/>
      <c r="P858" s="89"/>
      <c r="Q858" s="89"/>
      <c r="R858" s="89"/>
      <c r="S858" s="89"/>
    </row>
    <row r="859" spans="1:19" s="14" customFormat="1" ht="14.1" customHeight="1">
      <c r="A859" s="374"/>
      <c r="B859" s="89"/>
      <c r="C859" s="89"/>
      <c r="D859" s="89"/>
      <c r="E859" s="200"/>
      <c r="F859" s="200"/>
      <c r="G859" s="200"/>
      <c r="H859" s="200"/>
      <c r="J859" s="89"/>
      <c r="K859" s="89"/>
      <c r="L859" s="89"/>
      <c r="M859" s="89"/>
      <c r="N859" s="89"/>
      <c r="O859" s="89"/>
      <c r="P859" s="89"/>
      <c r="Q859" s="89"/>
      <c r="R859" s="89"/>
      <c r="S859" s="89"/>
    </row>
    <row r="860" spans="1:19" s="14" customFormat="1" ht="14.1" customHeight="1">
      <c r="A860" s="374"/>
      <c r="B860" s="89"/>
      <c r="C860" s="89"/>
      <c r="D860" s="89"/>
      <c r="E860" s="200"/>
      <c r="F860" s="200"/>
      <c r="G860" s="200"/>
      <c r="H860" s="200"/>
      <c r="J860" s="89"/>
      <c r="K860" s="89"/>
      <c r="L860" s="89"/>
      <c r="M860" s="89"/>
      <c r="N860" s="89"/>
      <c r="O860" s="89"/>
      <c r="P860" s="89"/>
      <c r="Q860" s="89"/>
      <c r="R860" s="89"/>
      <c r="S860" s="89"/>
    </row>
    <row r="861" spans="1:19" s="14" customFormat="1" ht="14.1" customHeight="1">
      <c r="A861" s="374"/>
      <c r="B861" s="89"/>
      <c r="C861" s="89"/>
      <c r="D861" s="89"/>
      <c r="E861" s="200"/>
      <c r="F861" s="200"/>
      <c r="G861" s="200"/>
      <c r="H861" s="200"/>
      <c r="J861" s="89"/>
      <c r="K861" s="89"/>
      <c r="L861" s="89"/>
      <c r="M861" s="89"/>
      <c r="N861" s="89"/>
      <c r="O861" s="89"/>
      <c r="P861" s="89"/>
      <c r="Q861" s="89"/>
      <c r="R861" s="89"/>
      <c r="S861" s="89"/>
    </row>
    <row r="862" spans="1:19" s="14" customFormat="1" ht="14.1" customHeight="1">
      <c r="A862" s="374"/>
      <c r="B862" s="89"/>
      <c r="C862" s="89"/>
      <c r="D862" s="89"/>
      <c r="E862" s="200"/>
      <c r="F862" s="200"/>
      <c r="G862" s="200"/>
      <c r="H862" s="200"/>
      <c r="J862" s="89"/>
      <c r="K862" s="89"/>
      <c r="L862" s="89"/>
      <c r="M862" s="89"/>
      <c r="N862" s="89"/>
      <c r="O862" s="89"/>
      <c r="P862" s="89"/>
      <c r="Q862" s="89"/>
      <c r="R862" s="89"/>
      <c r="S862" s="89"/>
    </row>
    <row r="863" spans="1:19" s="14" customFormat="1" ht="14.1" customHeight="1">
      <c r="A863" s="374"/>
      <c r="B863" s="89"/>
      <c r="C863" s="89"/>
      <c r="D863" s="89"/>
      <c r="E863" s="200"/>
      <c r="F863" s="200"/>
      <c r="G863" s="200"/>
      <c r="H863" s="200"/>
      <c r="J863" s="89"/>
      <c r="K863" s="89"/>
      <c r="L863" s="89"/>
      <c r="M863" s="89"/>
      <c r="N863" s="89"/>
      <c r="O863" s="89"/>
      <c r="P863" s="89"/>
      <c r="Q863" s="89"/>
      <c r="R863" s="89"/>
      <c r="S863" s="89"/>
    </row>
    <row r="864" spans="1:19" s="14" customFormat="1" ht="14.1" customHeight="1">
      <c r="A864" s="374"/>
      <c r="B864" s="89"/>
      <c r="C864" s="89"/>
      <c r="D864" s="89"/>
      <c r="E864" s="200"/>
      <c r="F864" s="200"/>
      <c r="G864" s="200"/>
      <c r="H864" s="200"/>
      <c r="J864" s="89"/>
      <c r="K864" s="89"/>
      <c r="L864" s="89"/>
      <c r="M864" s="89"/>
      <c r="N864" s="89"/>
      <c r="O864" s="89"/>
      <c r="P864" s="89"/>
      <c r="Q864" s="89"/>
      <c r="R864" s="89"/>
      <c r="S864" s="89"/>
    </row>
    <row r="865" spans="1:19" s="14" customFormat="1" ht="14.1" customHeight="1">
      <c r="A865" s="374"/>
      <c r="B865" s="89"/>
      <c r="C865" s="89"/>
      <c r="D865" s="89"/>
      <c r="E865" s="200"/>
      <c r="F865" s="200"/>
      <c r="G865" s="200"/>
      <c r="H865" s="200"/>
      <c r="J865" s="89"/>
      <c r="K865" s="89"/>
      <c r="L865" s="89"/>
      <c r="M865" s="89"/>
      <c r="N865" s="89"/>
      <c r="O865" s="89"/>
      <c r="P865" s="89"/>
      <c r="Q865" s="89"/>
      <c r="R865" s="89"/>
      <c r="S865" s="89"/>
    </row>
    <row r="866" spans="1:19" s="14" customFormat="1" ht="14.1" customHeight="1">
      <c r="A866" s="374"/>
      <c r="B866" s="89"/>
      <c r="C866" s="89"/>
      <c r="D866" s="89"/>
      <c r="E866" s="200"/>
      <c r="F866" s="200"/>
      <c r="G866" s="200"/>
      <c r="H866" s="200"/>
      <c r="J866" s="89"/>
      <c r="K866" s="89"/>
      <c r="L866" s="89"/>
      <c r="M866" s="89"/>
      <c r="N866" s="89"/>
      <c r="O866" s="89"/>
      <c r="P866" s="89"/>
      <c r="Q866" s="89"/>
      <c r="R866" s="89"/>
      <c r="S866" s="89"/>
    </row>
    <row r="867" spans="1:19" s="14" customFormat="1" ht="14.1" customHeight="1">
      <c r="A867" s="374"/>
      <c r="B867" s="89"/>
      <c r="C867" s="89"/>
      <c r="D867" s="89"/>
      <c r="E867" s="200"/>
      <c r="F867" s="200"/>
      <c r="G867" s="200"/>
      <c r="H867" s="200"/>
      <c r="J867" s="89"/>
      <c r="K867" s="89"/>
      <c r="L867" s="89"/>
      <c r="M867" s="89"/>
      <c r="N867" s="89"/>
      <c r="O867" s="89"/>
      <c r="P867" s="89"/>
      <c r="Q867" s="89"/>
      <c r="R867" s="89"/>
      <c r="S867" s="89"/>
    </row>
    <row r="868" spans="1:19" s="14" customFormat="1" ht="14.1" customHeight="1">
      <c r="A868" s="374"/>
      <c r="B868" s="89"/>
      <c r="C868" s="89"/>
      <c r="D868" s="89"/>
      <c r="E868" s="200"/>
      <c r="F868" s="200"/>
      <c r="G868" s="200"/>
      <c r="H868" s="200"/>
      <c r="J868" s="89"/>
      <c r="K868" s="89"/>
      <c r="L868" s="89"/>
      <c r="M868" s="89"/>
      <c r="N868" s="89"/>
      <c r="O868" s="89"/>
      <c r="P868" s="89"/>
      <c r="Q868" s="89"/>
      <c r="R868" s="89"/>
      <c r="S868" s="89"/>
    </row>
    <row r="869" spans="1:19" s="14" customFormat="1" ht="14.1" customHeight="1">
      <c r="A869" s="374"/>
      <c r="B869" s="89"/>
      <c r="C869" s="89"/>
      <c r="D869" s="89"/>
      <c r="E869" s="200"/>
      <c r="F869" s="200"/>
      <c r="G869" s="200"/>
      <c r="H869" s="200"/>
      <c r="J869" s="89"/>
      <c r="K869" s="89"/>
      <c r="L869" s="89"/>
      <c r="M869" s="89"/>
      <c r="N869" s="89"/>
      <c r="O869" s="89"/>
      <c r="P869" s="89"/>
      <c r="Q869" s="89"/>
      <c r="R869" s="89"/>
      <c r="S869" s="89"/>
    </row>
    <row r="870" spans="1:19" s="14" customFormat="1" ht="14.1" customHeight="1">
      <c r="A870" s="374"/>
      <c r="B870" s="89"/>
      <c r="C870" s="89"/>
      <c r="D870" s="89"/>
      <c r="E870" s="200"/>
      <c r="F870" s="200"/>
      <c r="G870" s="200"/>
      <c r="H870" s="200"/>
      <c r="J870" s="89"/>
      <c r="K870" s="89"/>
      <c r="L870" s="89"/>
      <c r="M870" s="89"/>
      <c r="N870" s="89"/>
      <c r="O870" s="89"/>
      <c r="P870" s="89"/>
      <c r="Q870" s="89"/>
      <c r="R870" s="89"/>
      <c r="S870" s="89"/>
    </row>
    <row r="871" spans="1:19" s="14" customFormat="1" ht="14.1" customHeight="1">
      <c r="A871" s="374"/>
      <c r="B871" s="89"/>
      <c r="C871" s="89"/>
      <c r="D871" s="89"/>
      <c r="E871" s="200"/>
      <c r="F871" s="200"/>
      <c r="G871" s="200"/>
      <c r="H871" s="200"/>
      <c r="J871" s="89"/>
      <c r="K871" s="89"/>
      <c r="L871" s="89"/>
      <c r="M871" s="89"/>
      <c r="N871" s="89"/>
      <c r="O871" s="89"/>
      <c r="P871" s="89"/>
      <c r="Q871" s="89"/>
      <c r="R871" s="89"/>
      <c r="S871" s="89"/>
    </row>
    <row r="872" spans="1:19" s="14" customFormat="1" ht="14.1" customHeight="1">
      <c r="A872" s="374"/>
      <c r="B872" s="89"/>
      <c r="C872" s="89"/>
      <c r="D872" s="89"/>
      <c r="E872" s="200"/>
      <c r="F872" s="200"/>
      <c r="G872" s="200"/>
      <c r="H872" s="200"/>
      <c r="J872" s="89"/>
      <c r="K872" s="89"/>
      <c r="L872" s="89"/>
      <c r="M872" s="89"/>
      <c r="N872" s="89"/>
      <c r="O872" s="89"/>
      <c r="P872" s="89"/>
      <c r="Q872" s="89"/>
      <c r="R872" s="89"/>
      <c r="S872" s="89"/>
    </row>
    <row r="873" spans="1:19" s="14" customFormat="1" ht="14.1" customHeight="1">
      <c r="A873" s="374"/>
      <c r="B873" s="89"/>
      <c r="C873" s="89"/>
      <c r="D873" s="89"/>
      <c r="E873" s="200"/>
      <c r="F873" s="200"/>
      <c r="G873" s="200"/>
      <c r="H873" s="200"/>
      <c r="J873" s="89"/>
      <c r="K873" s="89"/>
      <c r="L873" s="89"/>
      <c r="M873" s="89"/>
      <c r="N873" s="89"/>
      <c r="O873" s="89"/>
      <c r="P873" s="89"/>
      <c r="Q873" s="89"/>
      <c r="R873" s="89"/>
      <c r="S873" s="89"/>
    </row>
    <row r="874" spans="1:19" s="14" customFormat="1" ht="14.1" customHeight="1">
      <c r="A874" s="374"/>
      <c r="B874" s="89"/>
      <c r="C874" s="89"/>
      <c r="D874" s="89"/>
      <c r="E874" s="200"/>
      <c r="F874" s="200"/>
      <c r="G874" s="200"/>
      <c r="H874" s="200"/>
      <c r="J874" s="89"/>
      <c r="K874" s="89"/>
      <c r="L874" s="89"/>
      <c r="M874" s="89"/>
      <c r="N874" s="89"/>
      <c r="O874" s="89"/>
      <c r="P874" s="89"/>
      <c r="Q874" s="89"/>
      <c r="R874" s="89"/>
      <c r="S874" s="89"/>
    </row>
    <row r="875" spans="1:19" s="14" customFormat="1" ht="14.1" customHeight="1">
      <c r="A875" s="374"/>
      <c r="B875" s="89"/>
      <c r="C875" s="89"/>
      <c r="D875" s="89"/>
      <c r="E875" s="200"/>
      <c r="F875" s="200"/>
      <c r="G875" s="200"/>
      <c r="H875" s="200"/>
      <c r="J875" s="89"/>
      <c r="K875" s="89"/>
      <c r="L875" s="89"/>
      <c r="M875" s="89"/>
      <c r="N875" s="89"/>
      <c r="O875" s="89"/>
      <c r="P875" s="89"/>
      <c r="Q875" s="89"/>
      <c r="R875" s="89"/>
      <c r="S875" s="89"/>
    </row>
    <row r="876" spans="1:19" s="14" customFormat="1" ht="14.1" customHeight="1">
      <c r="A876" s="374"/>
      <c r="B876" s="89"/>
      <c r="C876" s="89"/>
      <c r="D876" s="89"/>
      <c r="E876" s="200"/>
      <c r="F876" s="200"/>
      <c r="G876" s="200"/>
      <c r="H876" s="200"/>
      <c r="J876" s="89"/>
      <c r="K876" s="89"/>
      <c r="L876" s="89"/>
      <c r="M876" s="89"/>
      <c r="N876" s="89"/>
      <c r="O876" s="89"/>
      <c r="P876" s="89"/>
      <c r="Q876" s="89"/>
      <c r="R876" s="89"/>
      <c r="S876" s="89"/>
    </row>
    <row r="877" spans="1:19" s="14" customFormat="1" ht="14.1" customHeight="1">
      <c r="A877" s="374"/>
      <c r="B877" s="89"/>
      <c r="C877" s="89"/>
      <c r="D877" s="89"/>
      <c r="E877" s="200"/>
      <c r="F877" s="200"/>
      <c r="G877" s="200"/>
      <c r="H877" s="200"/>
      <c r="J877" s="89"/>
      <c r="K877" s="89"/>
      <c r="L877" s="89"/>
      <c r="M877" s="89"/>
      <c r="N877" s="89"/>
      <c r="O877" s="89"/>
      <c r="P877" s="89"/>
      <c r="Q877" s="89"/>
      <c r="R877" s="89"/>
      <c r="S877" s="89"/>
    </row>
    <row r="878" spans="1:19" s="14" customFormat="1" ht="14.1" customHeight="1">
      <c r="A878" s="374"/>
      <c r="B878" s="89"/>
      <c r="C878" s="89"/>
      <c r="D878" s="89"/>
      <c r="E878" s="200"/>
      <c r="F878" s="200"/>
      <c r="G878" s="200"/>
      <c r="H878" s="200"/>
      <c r="J878" s="89"/>
      <c r="K878" s="89"/>
      <c r="L878" s="89"/>
      <c r="M878" s="89"/>
      <c r="N878" s="89"/>
      <c r="O878" s="89"/>
      <c r="P878" s="89"/>
      <c r="Q878" s="89"/>
      <c r="R878" s="89"/>
      <c r="S878" s="89"/>
    </row>
    <row r="879" spans="1:19" s="14" customFormat="1" ht="14.1" customHeight="1">
      <c r="A879" s="374"/>
      <c r="B879" s="89"/>
      <c r="C879" s="89"/>
      <c r="D879" s="89"/>
      <c r="E879" s="200"/>
      <c r="F879" s="200"/>
      <c r="G879" s="200"/>
      <c r="H879" s="200"/>
      <c r="J879" s="89"/>
      <c r="K879" s="89"/>
      <c r="L879" s="89"/>
      <c r="M879" s="89"/>
      <c r="N879" s="89"/>
      <c r="O879" s="89"/>
      <c r="P879" s="89"/>
      <c r="Q879" s="89"/>
      <c r="R879" s="89"/>
      <c r="S879" s="89"/>
    </row>
    <row r="880" spans="1:19" s="14" customFormat="1" ht="14.1" customHeight="1">
      <c r="A880" s="374"/>
      <c r="B880" s="89"/>
      <c r="C880" s="89"/>
      <c r="D880" s="89"/>
      <c r="E880" s="200"/>
      <c r="F880" s="200"/>
      <c r="G880" s="200"/>
      <c r="H880" s="200"/>
      <c r="J880" s="89"/>
      <c r="K880" s="89"/>
      <c r="L880" s="89"/>
      <c r="M880" s="89"/>
      <c r="N880" s="89"/>
      <c r="O880" s="89"/>
      <c r="P880" s="89"/>
      <c r="Q880" s="89"/>
      <c r="R880" s="89"/>
      <c r="S880" s="89"/>
    </row>
    <row r="881" spans="1:19" s="14" customFormat="1" ht="14.1" customHeight="1">
      <c r="A881" s="374"/>
      <c r="B881" s="89"/>
      <c r="C881" s="89"/>
      <c r="D881" s="89"/>
      <c r="E881" s="200"/>
      <c r="F881" s="200"/>
      <c r="G881" s="200"/>
      <c r="H881" s="200"/>
      <c r="J881" s="89"/>
      <c r="K881" s="89"/>
      <c r="L881" s="89"/>
      <c r="M881" s="89"/>
      <c r="N881" s="89"/>
      <c r="O881" s="89"/>
      <c r="P881" s="89"/>
      <c r="Q881" s="89"/>
      <c r="R881" s="89"/>
      <c r="S881" s="89"/>
    </row>
    <row r="882" spans="1:19" s="14" customFormat="1" ht="14.1" customHeight="1">
      <c r="A882" s="374"/>
      <c r="B882" s="89"/>
      <c r="C882" s="89"/>
      <c r="D882" s="89"/>
      <c r="E882" s="200"/>
      <c r="F882" s="200"/>
      <c r="G882" s="200"/>
      <c r="H882" s="200"/>
      <c r="J882" s="89"/>
      <c r="K882" s="89"/>
      <c r="L882" s="89"/>
      <c r="M882" s="89"/>
      <c r="N882" s="89"/>
      <c r="O882" s="89"/>
      <c r="P882" s="89"/>
      <c r="Q882" s="89"/>
      <c r="R882" s="89"/>
      <c r="S882" s="89"/>
    </row>
    <row r="883" spans="1:19" s="14" customFormat="1" ht="14.1" customHeight="1">
      <c r="A883" s="374"/>
      <c r="B883" s="89"/>
      <c r="C883" s="89"/>
      <c r="D883" s="89"/>
      <c r="E883" s="200"/>
      <c r="F883" s="200"/>
      <c r="G883" s="200"/>
      <c r="H883" s="200"/>
      <c r="J883" s="89"/>
      <c r="K883" s="89"/>
      <c r="L883" s="89"/>
      <c r="M883" s="89"/>
      <c r="N883" s="89"/>
      <c r="O883" s="89"/>
      <c r="P883" s="89"/>
      <c r="Q883" s="89"/>
      <c r="R883" s="89"/>
      <c r="S883" s="89"/>
    </row>
    <row r="884" spans="1:19" s="14" customFormat="1" ht="14.1" customHeight="1">
      <c r="A884" s="374"/>
      <c r="B884" s="89"/>
      <c r="C884" s="89"/>
      <c r="D884" s="89"/>
      <c r="E884" s="200"/>
      <c r="F884" s="200"/>
      <c r="G884" s="200"/>
      <c r="H884" s="200"/>
      <c r="J884" s="89"/>
      <c r="K884" s="89"/>
      <c r="L884" s="89"/>
      <c r="M884" s="89"/>
      <c r="N884" s="89"/>
      <c r="O884" s="89"/>
      <c r="P884" s="89"/>
      <c r="Q884" s="89"/>
      <c r="R884" s="89"/>
      <c r="S884" s="89"/>
    </row>
    <row r="885" spans="1:19" s="14" customFormat="1" ht="14.1" customHeight="1">
      <c r="A885" s="374"/>
      <c r="B885" s="89"/>
      <c r="C885" s="89"/>
      <c r="D885" s="89"/>
      <c r="E885" s="200"/>
      <c r="F885" s="200"/>
      <c r="G885" s="200"/>
      <c r="H885" s="200"/>
      <c r="J885" s="89"/>
      <c r="K885" s="89"/>
      <c r="L885" s="89"/>
      <c r="M885" s="89"/>
      <c r="N885" s="89"/>
      <c r="O885" s="89"/>
      <c r="P885" s="89"/>
      <c r="Q885" s="89"/>
      <c r="R885" s="89"/>
      <c r="S885" s="89"/>
    </row>
    <row r="886" spans="1:19" s="14" customFormat="1" ht="14.1" customHeight="1">
      <c r="A886" s="374"/>
      <c r="B886" s="89"/>
      <c r="C886" s="89"/>
      <c r="D886" s="89"/>
      <c r="E886" s="200"/>
      <c r="F886" s="200"/>
      <c r="G886" s="200"/>
      <c r="H886" s="200"/>
      <c r="J886" s="89"/>
      <c r="K886" s="89"/>
      <c r="L886" s="89"/>
      <c r="M886" s="89"/>
      <c r="N886" s="89"/>
      <c r="O886" s="89"/>
      <c r="P886" s="89"/>
      <c r="Q886" s="89"/>
      <c r="R886" s="89"/>
      <c r="S886" s="89"/>
    </row>
    <row r="887" spans="1:19" s="14" customFormat="1" ht="14.1" customHeight="1">
      <c r="A887" s="374"/>
      <c r="B887" s="89"/>
      <c r="C887" s="89"/>
      <c r="D887" s="89"/>
      <c r="E887" s="200"/>
      <c r="F887" s="200"/>
      <c r="G887" s="200"/>
      <c r="H887" s="200"/>
      <c r="J887" s="89"/>
      <c r="K887" s="89"/>
      <c r="L887" s="89"/>
      <c r="M887" s="89"/>
      <c r="N887" s="89"/>
      <c r="O887" s="89"/>
      <c r="P887" s="89"/>
      <c r="Q887" s="89"/>
      <c r="R887" s="89"/>
      <c r="S887" s="89"/>
    </row>
    <row r="888" spans="1:19" s="14" customFormat="1" ht="14.1" customHeight="1">
      <c r="A888" s="374"/>
      <c r="B888" s="89"/>
      <c r="C888" s="89"/>
      <c r="D888" s="89"/>
      <c r="E888" s="200"/>
      <c r="F888" s="200"/>
      <c r="G888" s="200"/>
      <c r="H888" s="200"/>
      <c r="J888" s="89"/>
      <c r="K888" s="89"/>
      <c r="L888" s="89"/>
      <c r="M888" s="89"/>
      <c r="N888" s="89"/>
      <c r="O888" s="89"/>
      <c r="P888" s="89"/>
      <c r="Q888" s="89"/>
      <c r="R888" s="89"/>
      <c r="S888" s="89"/>
    </row>
    <row r="889" spans="1:19" s="14" customFormat="1" ht="14.1" customHeight="1">
      <c r="A889" s="374"/>
      <c r="B889" s="89"/>
      <c r="C889" s="89"/>
      <c r="D889" s="89"/>
      <c r="E889" s="200"/>
      <c r="F889" s="200"/>
      <c r="G889" s="200"/>
      <c r="H889" s="200"/>
      <c r="J889" s="89"/>
      <c r="K889" s="89"/>
      <c r="L889" s="89"/>
      <c r="M889" s="89"/>
      <c r="N889" s="89"/>
      <c r="O889" s="89"/>
      <c r="P889" s="89"/>
      <c r="Q889" s="89"/>
      <c r="R889" s="89"/>
      <c r="S889" s="89"/>
    </row>
    <row r="890" spans="1:19" s="14" customFormat="1" ht="14.1" customHeight="1">
      <c r="A890" s="374"/>
      <c r="B890" s="89"/>
      <c r="C890" s="89"/>
      <c r="D890" s="89"/>
      <c r="E890" s="200"/>
      <c r="F890" s="200"/>
      <c r="G890" s="200"/>
      <c r="H890" s="200"/>
      <c r="J890" s="89"/>
      <c r="K890" s="89"/>
      <c r="L890" s="89"/>
      <c r="M890" s="89"/>
      <c r="N890" s="89"/>
      <c r="O890" s="89"/>
      <c r="P890" s="89"/>
      <c r="Q890" s="89"/>
      <c r="R890" s="89"/>
      <c r="S890" s="89"/>
    </row>
    <row r="891" spans="1:19" s="14" customFormat="1" ht="14.1" customHeight="1">
      <c r="A891" s="374"/>
      <c r="B891" s="89"/>
      <c r="C891" s="89"/>
      <c r="D891" s="89"/>
      <c r="E891" s="200"/>
      <c r="F891" s="200"/>
      <c r="G891" s="200"/>
      <c r="H891" s="200"/>
      <c r="J891" s="89"/>
      <c r="K891" s="89"/>
      <c r="L891" s="89"/>
      <c r="M891" s="89"/>
      <c r="N891" s="89"/>
      <c r="O891" s="89"/>
      <c r="P891" s="89"/>
      <c r="Q891" s="89"/>
      <c r="R891" s="89"/>
      <c r="S891" s="89"/>
    </row>
    <row r="892" spans="1:19" s="14" customFormat="1" ht="14.1" customHeight="1">
      <c r="A892" s="374"/>
      <c r="B892" s="89"/>
      <c r="C892" s="89"/>
      <c r="D892" s="89"/>
      <c r="E892" s="200"/>
      <c r="F892" s="200"/>
      <c r="G892" s="200"/>
      <c r="H892" s="200"/>
      <c r="J892" s="89"/>
      <c r="K892" s="89"/>
      <c r="L892" s="89"/>
      <c r="M892" s="89"/>
      <c r="N892" s="89"/>
      <c r="O892" s="89"/>
      <c r="P892" s="89"/>
      <c r="Q892" s="89"/>
      <c r="R892" s="89"/>
      <c r="S892" s="89"/>
    </row>
    <row r="893" spans="1:19" s="14" customFormat="1" ht="14.1" customHeight="1">
      <c r="A893" s="374"/>
      <c r="B893" s="89"/>
      <c r="C893" s="89"/>
      <c r="D893" s="89"/>
      <c r="E893" s="200"/>
      <c r="F893" s="200"/>
      <c r="G893" s="200"/>
      <c r="H893" s="200"/>
      <c r="J893" s="89"/>
      <c r="K893" s="89"/>
      <c r="L893" s="89"/>
      <c r="M893" s="89"/>
      <c r="N893" s="89"/>
      <c r="O893" s="89"/>
      <c r="P893" s="89"/>
      <c r="Q893" s="89"/>
      <c r="R893" s="89"/>
      <c r="S893" s="89"/>
    </row>
    <row r="894" spans="1:19" s="14" customFormat="1" ht="14.1" customHeight="1">
      <c r="A894" s="374"/>
      <c r="B894" s="89"/>
      <c r="C894" s="89"/>
      <c r="D894" s="89"/>
      <c r="E894" s="200"/>
      <c r="F894" s="200"/>
      <c r="G894" s="200"/>
      <c r="H894" s="200"/>
      <c r="J894" s="89"/>
      <c r="K894" s="89"/>
      <c r="L894" s="89"/>
      <c r="M894" s="89"/>
      <c r="N894" s="89"/>
      <c r="O894" s="89"/>
      <c r="P894" s="89"/>
      <c r="Q894" s="89"/>
      <c r="R894" s="89"/>
      <c r="S894" s="89"/>
    </row>
    <row r="895" spans="1:19" s="14" customFormat="1" ht="14.1" customHeight="1">
      <c r="A895" s="374"/>
      <c r="B895" s="89"/>
      <c r="C895" s="89"/>
      <c r="D895" s="89"/>
      <c r="E895" s="200"/>
      <c r="F895" s="200"/>
      <c r="G895" s="200"/>
      <c r="H895" s="200"/>
      <c r="J895" s="89"/>
      <c r="K895" s="89"/>
      <c r="L895" s="89"/>
      <c r="M895" s="89"/>
      <c r="N895" s="89"/>
      <c r="O895" s="89"/>
      <c r="P895" s="89"/>
      <c r="Q895" s="89"/>
      <c r="R895" s="89"/>
      <c r="S895" s="89"/>
    </row>
    <row r="896" spans="1:19" s="14" customFormat="1" ht="14.1" customHeight="1">
      <c r="A896" s="374"/>
      <c r="B896" s="89"/>
      <c r="C896" s="89"/>
      <c r="D896" s="89"/>
      <c r="E896" s="200"/>
      <c r="F896" s="200"/>
      <c r="G896" s="200"/>
      <c r="H896" s="200"/>
      <c r="J896" s="89"/>
      <c r="K896" s="89"/>
      <c r="L896" s="89"/>
      <c r="M896" s="89"/>
      <c r="N896" s="89"/>
      <c r="O896" s="89"/>
      <c r="P896" s="89"/>
      <c r="Q896" s="89"/>
      <c r="R896" s="89"/>
      <c r="S896" s="89"/>
    </row>
    <row r="897" spans="1:19" s="14" customFormat="1" ht="14.1" customHeight="1">
      <c r="A897" s="374"/>
      <c r="B897" s="89"/>
      <c r="C897" s="89"/>
      <c r="D897" s="89"/>
      <c r="E897" s="200"/>
      <c r="F897" s="200"/>
      <c r="G897" s="200"/>
      <c r="H897" s="200"/>
      <c r="J897" s="89"/>
      <c r="K897" s="89"/>
      <c r="L897" s="89"/>
      <c r="M897" s="89"/>
      <c r="N897" s="89"/>
      <c r="O897" s="89"/>
      <c r="P897" s="89"/>
      <c r="Q897" s="89"/>
      <c r="R897" s="89"/>
      <c r="S897" s="89"/>
    </row>
    <row r="898" spans="1:19" s="14" customFormat="1" ht="14.1" customHeight="1">
      <c r="A898" s="374"/>
      <c r="B898" s="89"/>
      <c r="C898" s="89"/>
      <c r="D898" s="89"/>
      <c r="E898" s="200"/>
      <c r="F898" s="200"/>
      <c r="G898" s="200"/>
      <c r="H898" s="200"/>
      <c r="J898" s="89"/>
      <c r="K898" s="89"/>
      <c r="L898" s="89"/>
      <c r="M898" s="89"/>
      <c r="N898" s="89"/>
      <c r="O898" s="89"/>
      <c r="P898" s="89"/>
      <c r="Q898" s="89"/>
      <c r="R898" s="89"/>
      <c r="S898" s="89"/>
    </row>
    <row r="899" spans="1:19" s="14" customFormat="1" ht="14.1" customHeight="1">
      <c r="A899" s="374"/>
      <c r="B899" s="89"/>
      <c r="C899" s="89"/>
      <c r="D899" s="89"/>
      <c r="E899" s="200"/>
      <c r="F899" s="200"/>
      <c r="G899" s="200"/>
      <c r="H899" s="200"/>
      <c r="J899" s="89"/>
      <c r="K899" s="89"/>
      <c r="L899" s="89"/>
      <c r="M899" s="89"/>
      <c r="N899" s="89"/>
      <c r="O899" s="89"/>
      <c r="P899" s="89"/>
      <c r="Q899" s="89"/>
      <c r="R899" s="89"/>
      <c r="S899" s="89"/>
    </row>
    <row r="900" spans="1:19" s="14" customFormat="1" ht="14.1" customHeight="1">
      <c r="A900" s="374"/>
      <c r="B900" s="89"/>
      <c r="C900" s="89"/>
      <c r="D900" s="89"/>
      <c r="E900" s="200"/>
      <c r="F900" s="200"/>
      <c r="G900" s="200"/>
      <c r="H900" s="200"/>
      <c r="J900" s="89"/>
      <c r="K900" s="89"/>
      <c r="L900" s="89"/>
      <c r="M900" s="89"/>
      <c r="N900" s="89"/>
      <c r="O900" s="89"/>
      <c r="P900" s="89"/>
      <c r="Q900" s="89"/>
      <c r="R900" s="89"/>
      <c r="S900" s="89"/>
    </row>
    <row r="901" spans="1:19" s="14" customFormat="1" ht="14.1" customHeight="1">
      <c r="A901" s="374"/>
      <c r="B901" s="89"/>
      <c r="C901" s="89"/>
      <c r="D901" s="89"/>
      <c r="E901" s="200"/>
      <c r="F901" s="200"/>
      <c r="G901" s="200"/>
      <c r="H901" s="200"/>
      <c r="J901" s="89"/>
      <c r="K901" s="89"/>
      <c r="L901" s="89"/>
      <c r="M901" s="89"/>
      <c r="N901" s="89"/>
      <c r="O901" s="89"/>
      <c r="P901" s="89"/>
      <c r="Q901" s="89"/>
      <c r="R901" s="89"/>
      <c r="S901" s="89"/>
    </row>
    <row r="902" spans="1:19" s="14" customFormat="1" ht="14.1" customHeight="1">
      <c r="A902" s="374"/>
      <c r="B902" s="89"/>
      <c r="C902" s="89"/>
      <c r="D902" s="89"/>
      <c r="E902" s="200"/>
      <c r="F902" s="200"/>
      <c r="G902" s="200"/>
      <c r="H902" s="200"/>
      <c r="J902" s="89"/>
      <c r="K902" s="89"/>
      <c r="L902" s="89"/>
      <c r="M902" s="89"/>
      <c r="N902" s="89"/>
      <c r="O902" s="89"/>
      <c r="P902" s="89"/>
      <c r="Q902" s="89"/>
      <c r="R902" s="89"/>
      <c r="S902" s="89"/>
    </row>
    <row r="903" spans="1:19" s="14" customFormat="1" ht="14.1" customHeight="1">
      <c r="A903" s="374"/>
      <c r="B903" s="89"/>
      <c r="C903" s="89"/>
      <c r="D903" s="89"/>
      <c r="E903" s="200"/>
      <c r="F903" s="200"/>
      <c r="G903" s="200"/>
      <c r="H903" s="200"/>
      <c r="J903" s="89"/>
      <c r="K903" s="89"/>
      <c r="L903" s="89"/>
      <c r="M903" s="89"/>
      <c r="N903" s="89"/>
      <c r="O903" s="89"/>
      <c r="P903" s="89"/>
      <c r="Q903" s="89"/>
      <c r="R903" s="89"/>
      <c r="S903" s="89"/>
    </row>
    <row r="904" spans="1:19" s="14" customFormat="1" ht="14.1" customHeight="1">
      <c r="A904" s="374"/>
      <c r="B904" s="89"/>
      <c r="C904" s="89"/>
      <c r="D904" s="89"/>
      <c r="E904" s="200"/>
      <c r="F904" s="200"/>
      <c r="G904" s="200"/>
      <c r="H904" s="200"/>
      <c r="J904" s="89"/>
      <c r="K904" s="89"/>
      <c r="L904" s="89"/>
      <c r="M904" s="89"/>
      <c r="N904" s="89"/>
      <c r="O904" s="89"/>
      <c r="P904" s="89"/>
      <c r="Q904" s="89"/>
      <c r="R904" s="89"/>
      <c r="S904" s="89"/>
    </row>
    <row r="905" spans="1:19" s="14" customFormat="1" ht="14.1" customHeight="1">
      <c r="A905" s="374"/>
      <c r="B905" s="89"/>
      <c r="C905" s="89"/>
      <c r="D905" s="89"/>
      <c r="E905" s="200"/>
      <c r="F905" s="200"/>
      <c r="G905" s="200"/>
      <c r="H905" s="200"/>
      <c r="J905" s="89"/>
      <c r="K905" s="89"/>
      <c r="L905" s="89"/>
      <c r="M905" s="89"/>
      <c r="N905" s="89"/>
      <c r="O905" s="89"/>
      <c r="P905" s="89"/>
      <c r="Q905" s="89"/>
      <c r="R905" s="89"/>
      <c r="S905" s="89"/>
    </row>
    <row r="906" spans="1:19" s="14" customFormat="1" ht="14.1" customHeight="1">
      <c r="A906" s="374"/>
      <c r="B906" s="89"/>
      <c r="C906" s="89"/>
      <c r="D906" s="89"/>
      <c r="E906" s="200"/>
      <c r="F906" s="200"/>
      <c r="G906" s="200"/>
      <c r="H906" s="200"/>
      <c r="J906" s="89"/>
      <c r="K906" s="89"/>
      <c r="L906" s="89"/>
      <c r="M906" s="89"/>
      <c r="N906" s="89"/>
      <c r="O906" s="89"/>
      <c r="P906" s="89"/>
      <c r="Q906" s="89"/>
      <c r="R906" s="89"/>
      <c r="S906" s="89"/>
    </row>
    <row r="907" spans="1:19" s="14" customFormat="1" ht="14.1" customHeight="1">
      <c r="A907" s="374"/>
      <c r="B907" s="89"/>
      <c r="C907" s="89"/>
      <c r="D907" s="89"/>
      <c r="E907" s="200"/>
      <c r="F907" s="200"/>
      <c r="G907" s="200"/>
      <c r="H907" s="200"/>
      <c r="J907" s="89"/>
      <c r="K907" s="89"/>
      <c r="L907" s="89"/>
      <c r="M907" s="89"/>
      <c r="N907" s="89"/>
      <c r="O907" s="89"/>
      <c r="P907" s="89"/>
      <c r="Q907" s="89"/>
      <c r="R907" s="89"/>
      <c r="S907" s="89"/>
    </row>
    <row r="908" spans="1:19" s="14" customFormat="1" ht="14.1" customHeight="1">
      <c r="A908" s="374"/>
      <c r="B908" s="89"/>
      <c r="C908" s="89"/>
      <c r="D908" s="89"/>
      <c r="E908" s="200"/>
      <c r="F908" s="200"/>
      <c r="G908" s="200"/>
      <c r="H908" s="200"/>
      <c r="J908" s="89"/>
      <c r="K908" s="89"/>
      <c r="L908" s="89"/>
      <c r="M908" s="89"/>
      <c r="N908" s="89"/>
      <c r="O908" s="89"/>
      <c r="P908" s="89"/>
      <c r="Q908" s="89"/>
      <c r="R908" s="89"/>
      <c r="S908" s="89"/>
    </row>
    <row r="909" spans="1:19" s="14" customFormat="1" ht="14.1" customHeight="1">
      <c r="A909" s="374"/>
      <c r="B909" s="89"/>
      <c r="C909" s="89"/>
      <c r="D909" s="89"/>
      <c r="E909" s="200"/>
      <c r="F909" s="200"/>
      <c r="G909" s="200"/>
      <c r="H909" s="200"/>
      <c r="J909" s="89"/>
      <c r="K909" s="89"/>
      <c r="L909" s="89"/>
      <c r="M909" s="89"/>
      <c r="N909" s="89"/>
      <c r="O909" s="89"/>
      <c r="P909" s="89"/>
      <c r="Q909" s="89"/>
      <c r="R909" s="89"/>
      <c r="S909" s="89"/>
    </row>
    <row r="910" spans="1:19" s="14" customFormat="1" ht="14.1" customHeight="1">
      <c r="A910" s="374"/>
      <c r="B910" s="89"/>
      <c r="C910" s="89"/>
      <c r="D910" s="89"/>
      <c r="E910" s="200"/>
      <c r="F910" s="200"/>
      <c r="G910" s="200"/>
      <c r="H910" s="200"/>
      <c r="J910" s="89"/>
      <c r="K910" s="89"/>
      <c r="L910" s="89"/>
      <c r="M910" s="89"/>
      <c r="N910" s="89"/>
      <c r="O910" s="89"/>
      <c r="P910" s="89"/>
      <c r="Q910" s="89"/>
      <c r="R910" s="89"/>
      <c r="S910" s="89"/>
    </row>
    <row r="911" spans="1:19" s="14" customFormat="1" ht="14.1" customHeight="1">
      <c r="A911" s="374"/>
      <c r="B911" s="89"/>
      <c r="C911" s="89"/>
      <c r="D911" s="89"/>
      <c r="E911" s="200"/>
      <c r="F911" s="200"/>
      <c r="G911" s="200"/>
      <c r="H911" s="200"/>
      <c r="J911" s="89"/>
      <c r="K911" s="89"/>
      <c r="L911" s="89"/>
      <c r="M911" s="89"/>
      <c r="N911" s="89"/>
      <c r="O911" s="89"/>
      <c r="P911" s="89"/>
      <c r="Q911" s="89"/>
      <c r="R911" s="89"/>
      <c r="S911" s="89"/>
    </row>
    <row r="912" spans="1:19" s="14" customFormat="1" ht="14.1" customHeight="1">
      <c r="A912" s="374"/>
      <c r="B912" s="89"/>
      <c r="C912" s="89"/>
      <c r="D912" s="89"/>
      <c r="E912" s="200"/>
      <c r="F912" s="200"/>
      <c r="G912" s="200"/>
      <c r="H912" s="200"/>
      <c r="J912" s="89"/>
      <c r="K912" s="89"/>
      <c r="L912" s="89"/>
      <c r="M912" s="89"/>
      <c r="N912" s="89"/>
      <c r="O912" s="89"/>
      <c r="P912" s="89"/>
      <c r="Q912" s="89"/>
      <c r="R912" s="89"/>
      <c r="S912" s="89"/>
    </row>
    <row r="913" spans="1:19" s="14" customFormat="1" ht="14.1" customHeight="1">
      <c r="A913" s="374"/>
      <c r="B913" s="89"/>
      <c r="C913" s="89"/>
      <c r="D913" s="89"/>
      <c r="E913" s="200"/>
      <c r="F913" s="200"/>
      <c r="G913" s="200"/>
      <c r="H913" s="200"/>
      <c r="J913" s="89"/>
      <c r="K913" s="89"/>
      <c r="L913" s="89"/>
      <c r="M913" s="89"/>
      <c r="N913" s="89"/>
      <c r="O913" s="89"/>
      <c r="P913" s="89"/>
      <c r="Q913" s="89"/>
      <c r="R913" s="89"/>
      <c r="S913" s="89"/>
    </row>
    <row r="914" spans="1:19" s="14" customFormat="1" ht="14.1" customHeight="1">
      <c r="A914" s="374"/>
      <c r="B914" s="89"/>
      <c r="C914" s="89"/>
      <c r="D914" s="89"/>
      <c r="E914" s="200"/>
      <c r="F914" s="200"/>
      <c r="G914" s="200"/>
      <c r="H914" s="200"/>
      <c r="J914" s="89"/>
      <c r="K914" s="89"/>
      <c r="L914" s="89"/>
      <c r="M914" s="89"/>
      <c r="N914" s="89"/>
      <c r="O914" s="89"/>
      <c r="P914" s="89"/>
      <c r="Q914" s="89"/>
      <c r="R914" s="89"/>
      <c r="S914" s="89"/>
    </row>
    <row r="915" spans="1:19" s="14" customFormat="1" ht="14.1" customHeight="1">
      <c r="A915" s="374"/>
      <c r="B915" s="89"/>
      <c r="C915" s="89"/>
      <c r="D915" s="89"/>
      <c r="E915" s="200"/>
      <c r="F915" s="200"/>
      <c r="G915" s="200"/>
      <c r="H915" s="200"/>
      <c r="J915" s="89"/>
      <c r="K915" s="89"/>
      <c r="L915" s="89"/>
      <c r="M915" s="89"/>
      <c r="N915" s="89"/>
      <c r="O915" s="89"/>
      <c r="P915" s="89"/>
      <c r="Q915" s="89"/>
      <c r="R915" s="89"/>
      <c r="S915" s="89"/>
    </row>
    <row r="916" spans="1:19" s="14" customFormat="1" ht="14.1" customHeight="1">
      <c r="A916" s="374"/>
      <c r="B916" s="89"/>
      <c r="C916" s="89"/>
      <c r="D916" s="89"/>
      <c r="E916" s="200"/>
      <c r="F916" s="200"/>
      <c r="G916" s="200"/>
      <c r="H916" s="200"/>
      <c r="J916" s="89"/>
      <c r="K916" s="89"/>
      <c r="L916" s="89"/>
      <c r="M916" s="89"/>
      <c r="N916" s="89"/>
      <c r="O916" s="89"/>
      <c r="P916" s="89"/>
      <c r="Q916" s="89"/>
      <c r="R916" s="89"/>
      <c r="S916" s="89"/>
    </row>
    <row r="917" spans="1:19" s="14" customFormat="1" ht="14.1" customHeight="1">
      <c r="A917" s="374"/>
      <c r="B917" s="89"/>
      <c r="C917" s="89"/>
      <c r="D917" s="89"/>
      <c r="E917" s="200"/>
      <c r="F917" s="200"/>
      <c r="G917" s="200"/>
      <c r="H917" s="200"/>
      <c r="J917" s="89"/>
      <c r="K917" s="89"/>
      <c r="L917" s="89"/>
      <c r="M917" s="89"/>
      <c r="N917" s="89"/>
      <c r="O917" s="89"/>
      <c r="P917" s="89"/>
      <c r="Q917" s="89"/>
      <c r="R917" s="89"/>
      <c r="S917" s="89"/>
    </row>
    <row r="918" spans="1:19" s="14" customFormat="1" ht="14.1" customHeight="1">
      <c r="A918" s="374"/>
      <c r="B918" s="89"/>
      <c r="C918" s="89"/>
      <c r="D918" s="89"/>
      <c r="E918" s="200"/>
      <c r="F918" s="200"/>
      <c r="G918" s="200"/>
      <c r="H918" s="200"/>
      <c r="J918" s="89"/>
      <c r="K918" s="89"/>
      <c r="L918" s="89"/>
      <c r="M918" s="89"/>
      <c r="N918" s="89"/>
      <c r="O918" s="89"/>
      <c r="P918" s="89"/>
      <c r="Q918" s="89"/>
      <c r="R918" s="89"/>
      <c r="S918" s="89"/>
    </row>
    <row r="919" spans="1:19" s="14" customFormat="1" ht="14.1" customHeight="1">
      <c r="A919" s="374"/>
      <c r="B919" s="89"/>
      <c r="C919" s="89"/>
      <c r="D919" s="89"/>
      <c r="E919" s="200"/>
      <c r="F919" s="200"/>
      <c r="G919" s="200"/>
      <c r="H919" s="200"/>
      <c r="J919" s="89"/>
      <c r="K919" s="89"/>
      <c r="L919" s="89"/>
      <c r="M919" s="89"/>
      <c r="N919" s="89"/>
      <c r="O919" s="89"/>
      <c r="P919" s="89"/>
      <c r="Q919" s="89"/>
      <c r="R919" s="89"/>
      <c r="S919" s="89"/>
    </row>
    <row r="920" spans="1:19" s="14" customFormat="1" ht="14.1" customHeight="1">
      <c r="A920" s="374"/>
      <c r="B920" s="89"/>
      <c r="C920" s="89"/>
      <c r="D920" s="89"/>
      <c r="E920" s="200"/>
      <c r="F920" s="200"/>
      <c r="G920" s="200"/>
      <c r="H920" s="200"/>
      <c r="J920" s="89"/>
      <c r="K920" s="89"/>
      <c r="L920" s="89"/>
      <c r="M920" s="89"/>
      <c r="N920" s="89"/>
      <c r="O920" s="89"/>
      <c r="P920" s="89"/>
      <c r="Q920" s="89"/>
      <c r="R920" s="89"/>
      <c r="S920" s="89"/>
    </row>
    <row r="921" spans="1:19" s="14" customFormat="1" ht="14.1" customHeight="1">
      <c r="A921" s="374"/>
      <c r="B921" s="89"/>
      <c r="C921" s="89"/>
      <c r="D921" s="89"/>
      <c r="E921" s="200"/>
      <c r="F921" s="200"/>
      <c r="G921" s="200"/>
      <c r="H921" s="200"/>
      <c r="J921" s="89"/>
      <c r="K921" s="89"/>
      <c r="L921" s="89"/>
      <c r="M921" s="89"/>
      <c r="N921" s="89"/>
      <c r="O921" s="89"/>
      <c r="P921" s="89"/>
      <c r="Q921" s="89"/>
      <c r="R921" s="89"/>
      <c r="S921" s="89"/>
    </row>
    <row r="922" spans="1:19" s="14" customFormat="1" ht="14.1" customHeight="1">
      <c r="A922" s="374"/>
      <c r="B922" s="89"/>
      <c r="C922" s="89"/>
      <c r="D922" s="89"/>
      <c r="E922" s="200"/>
      <c r="F922" s="200"/>
      <c r="G922" s="200"/>
      <c r="H922" s="200"/>
      <c r="J922" s="89"/>
      <c r="K922" s="89"/>
      <c r="L922" s="89"/>
      <c r="M922" s="89"/>
      <c r="N922" s="89"/>
      <c r="O922" s="89"/>
      <c r="P922" s="89"/>
      <c r="Q922" s="89"/>
      <c r="R922" s="89"/>
      <c r="S922" s="89"/>
    </row>
    <row r="923" spans="1:19" s="14" customFormat="1" ht="14.1" customHeight="1">
      <c r="A923" s="374"/>
      <c r="B923" s="89"/>
      <c r="C923" s="89"/>
      <c r="D923" s="89"/>
      <c r="E923" s="200"/>
      <c r="F923" s="200"/>
      <c r="G923" s="200"/>
      <c r="H923" s="200"/>
      <c r="J923" s="89"/>
      <c r="K923" s="89"/>
      <c r="L923" s="89"/>
      <c r="M923" s="89"/>
      <c r="N923" s="89"/>
      <c r="O923" s="89"/>
      <c r="P923" s="89"/>
      <c r="Q923" s="89"/>
      <c r="R923" s="89"/>
      <c r="S923" s="89"/>
    </row>
    <row r="924" spans="1:19" s="14" customFormat="1" ht="14.1" customHeight="1">
      <c r="A924" s="374"/>
      <c r="B924" s="89"/>
      <c r="C924" s="89"/>
      <c r="D924" s="89"/>
      <c r="E924" s="200"/>
      <c r="F924" s="200"/>
      <c r="G924" s="200"/>
      <c r="H924" s="200"/>
      <c r="J924" s="89"/>
      <c r="K924" s="89"/>
      <c r="L924" s="89"/>
      <c r="M924" s="89"/>
      <c r="N924" s="89"/>
      <c r="O924" s="89"/>
      <c r="P924" s="89"/>
      <c r="Q924" s="89"/>
      <c r="R924" s="89"/>
      <c r="S924" s="89"/>
    </row>
    <row r="925" spans="1:19" s="14" customFormat="1" ht="14.1" customHeight="1">
      <c r="A925" s="374"/>
      <c r="B925" s="89"/>
      <c r="C925" s="89"/>
      <c r="D925" s="89"/>
      <c r="E925" s="200"/>
      <c r="F925" s="200"/>
      <c r="G925" s="200"/>
      <c r="H925" s="200"/>
      <c r="J925" s="89"/>
      <c r="K925" s="89"/>
      <c r="L925" s="89"/>
      <c r="M925" s="89"/>
      <c r="N925" s="89"/>
      <c r="O925" s="89"/>
      <c r="P925" s="89"/>
      <c r="Q925" s="89"/>
      <c r="R925" s="89"/>
      <c r="S925" s="89"/>
    </row>
    <row r="926" spans="1:19" s="14" customFormat="1" ht="14.1" customHeight="1">
      <c r="A926" s="374"/>
      <c r="B926" s="89"/>
      <c r="C926" s="89"/>
      <c r="D926" s="89"/>
      <c r="E926" s="200"/>
      <c r="F926" s="200"/>
      <c r="G926" s="200"/>
      <c r="H926" s="200"/>
      <c r="J926" s="89"/>
      <c r="K926" s="89"/>
      <c r="L926" s="89"/>
      <c r="M926" s="89"/>
      <c r="N926" s="89"/>
      <c r="O926" s="89"/>
      <c r="P926" s="89"/>
      <c r="Q926" s="89"/>
      <c r="R926" s="89"/>
      <c r="S926" s="89"/>
    </row>
    <row r="927" spans="1:19" s="14" customFormat="1" ht="14.1" customHeight="1">
      <c r="A927" s="374"/>
      <c r="B927" s="89"/>
      <c r="C927" s="89"/>
      <c r="D927" s="89"/>
      <c r="E927" s="200"/>
      <c r="F927" s="200"/>
      <c r="G927" s="200"/>
      <c r="H927" s="200"/>
      <c r="J927" s="89"/>
      <c r="K927" s="89"/>
      <c r="L927" s="89"/>
      <c r="M927" s="89"/>
      <c r="N927" s="89"/>
      <c r="O927" s="89"/>
      <c r="P927" s="89"/>
      <c r="Q927" s="89"/>
      <c r="R927" s="89"/>
      <c r="S927" s="89"/>
    </row>
    <row r="928" spans="1:19" s="14" customFormat="1" ht="14.1" customHeight="1">
      <c r="A928" s="374"/>
      <c r="B928" s="89"/>
      <c r="C928" s="89"/>
      <c r="D928" s="89"/>
      <c r="E928" s="200"/>
      <c r="F928" s="200"/>
      <c r="G928" s="200"/>
      <c r="H928" s="200"/>
      <c r="J928" s="89"/>
      <c r="K928" s="89"/>
      <c r="L928" s="89"/>
      <c r="M928" s="89"/>
      <c r="N928" s="89"/>
      <c r="O928" s="89"/>
      <c r="P928" s="89"/>
      <c r="Q928" s="89"/>
      <c r="R928" s="89"/>
      <c r="S928" s="89"/>
    </row>
    <row r="929" spans="1:19" s="14" customFormat="1" ht="14.1" customHeight="1">
      <c r="A929" s="374"/>
      <c r="B929" s="89"/>
      <c r="C929" s="89"/>
      <c r="D929" s="89"/>
      <c r="E929" s="200"/>
      <c r="F929" s="200"/>
      <c r="G929" s="200"/>
      <c r="H929" s="200"/>
      <c r="J929" s="89"/>
      <c r="K929" s="89"/>
      <c r="L929" s="89"/>
      <c r="M929" s="89"/>
      <c r="N929" s="89"/>
      <c r="O929" s="89"/>
      <c r="P929" s="89"/>
      <c r="Q929" s="89"/>
      <c r="R929" s="89"/>
      <c r="S929" s="89"/>
    </row>
    <row r="930" spans="1:19" s="14" customFormat="1" ht="14.1" customHeight="1">
      <c r="A930" s="374"/>
      <c r="B930" s="89"/>
      <c r="C930" s="89"/>
      <c r="D930" s="89"/>
      <c r="E930" s="200"/>
      <c r="F930" s="200"/>
      <c r="G930" s="200"/>
      <c r="H930" s="200"/>
      <c r="J930" s="89"/>
      <c r="K930" s="89"/>
      <c r="L930" s="89"/>
      <c r="M930" s="89"/>
      <c r="N930" s="89"/>
      <c r="O930" s="89"/>
      <c r="P930" s="89"/>
      <c r="Q930" s="89"/>
      <c r="R930" s="89"/>
      <c r="S930" s="89"/>
    </row>
    <row r="931" spans="1:19" s="14" customFormat="1" ht="14.1" customHeight="1">
      <c r="A931" s="374"/>
      <c r="B931" s="89"/>
      <c r="C931" s="89"/>
      <c r="D931" s="89"/>
      <c r="E931" s="200"/>
      <c r="F931" s="200"/>
      <c r="G931" s="200"/>
      <c r="H931" s="200"/>
      <c r="J931" s="89"/>
      <c r="K931" s="89"/>
      <c r="L931" s="89"/>
      <c r="M931" s="89"/>
      <c r="N931" s="89"/>
      <c r="O931" s="89"/>
      <c r="P931" s="89"/>
      <c r="Q931" s="89"/>
      <c r="R931" s="89"/>
      <c r="S931" s="89"/>
    </row>
    <row r="932" spans="1:19" s="14" customFormat="1" ht="14.1" customHeight="1">
      <c r="A932" s="374"/>
      <c r="B932" s="89"/>
      <c r="C932" s="89"/>
      <c r="D932" s="89"/>
      <c r="E932" s="200"/>
      <c r="F932" s="200"/>
      <c r="G932" s="200"/>
      <c r="H932" s="200"/>
      <c r="J932" s="89"/>
      <c r="K932" s="89"/>
      <c r="L932" s="89"/>
      <c r="M932" s="89"/>
      <c r="N932" s="89"/>
      <c r="O932" s="89"/>
      <c r="P932" s="89"/>
      <c r="Q932" s="89"/>
      <c r="R932" s="89"/>
      <c r="S932" s="89"/>
    </row>
    <row r="933" spans="1:19" s="14" customFormat="1" ht="14.1" customHeight="1">
      <c r="A933" s="374"/>
      <c r="B933" s="89"/>
      <c r="C933" s="89"/>
      <c r="D933" s="89"/>
      <c r="E933" s="200"/>
      <c r="F933" s="200"/>
      <c r="G933" s="200"/>
      <c r="H933" s="200"/>
      <c r="J933" s="89"/>
      <c r="K933" s="89"/>
      <c r="L933" s="89"/>
      <c r="M933" s="89"/>
      <c r="N933" s="89"/>
      <c r="O933" s="89"/>
      <c r="P933" s="89"/>
      <c r="Q933" s="89"/>
      <c r="R933" s="89"/>
      <c r="S933" s="89"/>
    </row>
    <row r="934" spans="1:19" s="14" customFormat="1" ht="14.1" customHeight="1">
      <c r="A934" s="374"/>
      <c r="B934" s="89"/>
      <c r="C934" s="89"/>
      <c r="D934" s="89"/>
      <c r="E934" s="200"/>
      <c r="F934" s="200"/>
      <c r="G934" s="200"/>
      <c r="H934" s="200"/>
      <c r="J934" s="89"/>
      <c r="K934" s="89"/>
      <c r="L934" s="89"/>
      <c r="M934" s="89"/>
      <c r="N934" s="89"/>
      <c r="O934" s="89"/>
      <c r="P934" s="89"/>
      <c r="Q934" s="89"/>
      <c r="R934" s="89"/>
      <c r="S934" s="89"/>
    </row>
    <row r="935" spans="1:19" s="14" customFormat="1" ht="14.1" customHeight="1">
      <c r="A935" s="374"/>
      <c r="B935" s="89"/>
      <c r="C935" s="89"/>
      <c r="D935" s="89"/>
      <c r="E935" s="200"/>
      <c r="F935" s="200"/>
      <c r="G935" s="200"/>
      <c r="H935" s="200"/>
      <c r="J935" s="89"/>
      <c r="K935" s="89"/>
      <c r="L935" s="89"/>
      <c r="M935" s="89"/>
      <c r="N935" s="89"/>
      <c r="O935" s="89"/>
      <c r="P935" s="89"/>
      <c r="Q935" s="89"/>
      <c r="R935" s="89"/>
      <c r="S935" s="89"/>
    </row>
  </sheetData>
  <pageMargins left="0.2" right="0.2" top="0.76" bottom="0.38" header="0.5" footer="0.22"/>
  <pageSetup scale="65" fitToHeight="13" orientation="landscape" r:id="rId1"/>
  <headerFooter alignWithMargins="0">
    <oddHeader xml:space="preserve">&amp;C&amp;12KENTUCKY POWER COMPANY
JURISDICTIONAL COST OF SERVICE 
TEST YEAR ENDED FEBRUARY 28, 2017&amp;R&amp;12SECTION V
SCHEDULE 4
</oddHeader>
  </headerFooter>
  <rowBreaks count="1" manualBreakCount="1">
    <brk id="56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01"/>
  <sheetViews>
    <sheetView showGridLines="0" zoomScale="90" zoomScaleNormal="90" zoomScaleSheetLayoutView="70" workbookViewId="0">
      <pane xSplit="2" ySplit="3" topLeftCell="D4" activePane="bottomRight" state="frozen"/>
      <selection activeCell="G26" sqref="G26"/>
      <selection pane="topRight" activeCell="G26" sqref="G26"/>
      <selection pane="bottomLeft" activeCell="G26" sqref="G26"/>
      <selection pane="bottomRight" activeCell="BB3" sqref="E3:BB7"/>
    </sheetView>
  </sheetViews>
  <sheetFormatPr defaultColWidth="9.140625" defaultRowHeight="14.1" customHeight="1"/>
  <cols>
    <col min="1" max="1" width="4.7109375" style="412" bestFit="1" customWidth="1"/>
    <col min="2" max="2" width="46" style="89" customWidth="1"/>
    <col min="3" max="3" width="16.7109375" style="89" customWidth="1"/>
    <col min="4" max="5" width="15.7109375" style="89" customWidth="1"/>
    <col min="6" max="6" width="14" style="89" customWidth="1"/>
    <col min="7" max="7" width="19.7109375" style="89" bestFit="1" customWidth="1"/>
    <col min="8" max="8" width="14" style="89" customWidth="1"/>
    <col min="9" max="9" width="13" style="89" customWidth="1"/>
    <col min="10" max="10" width="13.7109375" style="89" customWidth="1"/>
    <col min="11" max="12" width="14" style="89" customWidth="1"/>
    <col min="13" max="13" width="13.42578125" style="89" customWidth="1"/>
    <col min="14" max="14" width="12" style="89" customWidth="1"/>
    <col min="15" max="15" width="16.140625" style="89" customWidth="1"/>
    <col min="16" max="16" width="12.85546875" style="89" customWidth="1"/>
    <col min="17" max="17" width="13" style="89" customWidth="1"/>
    <col min="18" max="18" width="12.85546875" style="89" customWidth="1"/>
    <col min="19" max="19" width="15.42578125" style="89" customWidth="1"/>
    <col min="20" max="20" width="14.42578125" style="89" customWidth="1"/>
    <col min="21" max="21" width="13.85546875" style="89" customWidth="1"/>
    <col min="22" max="22" width="12.5703125" style="89" customWidth="1"/>
    <col min="23" max="23" width="13.85546875" style="89" customWidth="1"/>
    <col min="24" max="24" width="12.5703125" style="89" customWidth="1"/>
    <col min="25" max="25" width="13.85546875" style="89" customWidth="1"/>
    <col min="26" max="26" width="16.140625" style="89" customWidth="1"/>
    <col min="27" max="27" width="14" style="89" customWidth="1"/>
    <col min="28" max="28" width="18.140625" style="89" customWidth="1"/>
    <col min="29" max="32" width="12.5703125" style="89" customWidth="1"/>
    <col min="33" max="33" width="14.42578125" style="89" customWidth="1"/>
    <col min="34" max="34" width="16.140625" style="89" customWidth="1"/>
    <col min="35" max="35" width="11.7109375" style="89" customWidth="1"/>
    <col min="36" max="36" width="14.28515625" style="89" customWidth="1"/>
    <col min="37" max="37" width="15.140625" style="89" customWidth="1"/>
    <col min="38" max="38" width="18.140625" style="89" customWidth="1"/>
    <col min="39" max="39" width="16.7109375" style="89" customWidth="1"/>
    <col min="40" max="40" width="10" style="89" customWidth="1"/>
    <col min="41" max="41" width="14.42578125" style="89" customWidth="1"/>
    <col min="42" max="42" width="14" style="89" customWidth="1"/>
    <col min="43" max="43" width="14.28515625" style="89" customWidth="1"/>
    <col min="44" max="44" width="9" style="89" customWidth="1"/>
    <col min="45" max="45" width="12.28515625" style="89" customWidth="1"/>
    <col min="46" max="47" width="14.42578125" style="89" customWidth="1"/>
    <col min="48" max="48" width="12.28515625" style="89" customWidth="1"/>
    <col min="49" max="49" width="15" style="89" customWidth="1"/>
    <col min="50" max="50" width="14.140625" style="89" customWidth="1"/>
    <col min="51" max="51" width="16.140625" style="89" customWidth="1"/>
    <col min="52" max="52" width="13" style="89" customWidth="1"/>
    <col min="53" max="53" width="13.85546875" style="89" customWidth="1"/>
    <col min="54" max="54" width="14.7109375" style="89" customWidth="1"/>
    <col min="55" max="55" width="10.85546875" style="89" customWidth="1"/>
    <col min="56" max="56" width="14.7109375" style="89" customWidth="1"/>
    <col min="57" max="57" width="15.42578125" style="89" customWidth="1"/>
    <col min="58" max="58" width="14.28515625" style="89" customWidth="1"/>
    <col min="59" max="16384" width="9.140625" style="89"/>
  </cols>
  <sheetData>
    <row r="1" spans="1:58" ht="14.1" customHeight="1">
      <c r="N1" s="211"/>
      <c r="Q1" s="38"/>
      <c r="R1" s="38"/>
      <c r="AG1" s="211"/>
      <c r="AU1" s="211"/>
    </row>
    <row r="2" spans="1:58" ht="14.1" customHeight="1">
      <c r="A2" s="412" t="s">
        <v>2</v>
      </c>
      <c r="D2" s="412">
        <f t="shared" ref="D2" si="0">C2+1</f>
        <v>1</v>
      </c>
      <c r="E2" s="412">
        <f>D2+1</f>
        <v>2</v>
      </c>
      <c r="F2" s="412">
        <f>E2+1</f>
        <v>3</v>
      </c>
      <c r="G2" s="412">
        <f t="shared" ref="G2:BF2" si="1">F2+1</f>
        <v>4</v>
      </c>
      <c r="H2" s="412">
        <f t="shared" si="1"/>
        <v>5</v>
      </c>
      <c r="I2" s="412">
        <f>H2+1</f>
        <v>6</v>
      </c>
      <c r="J2" s="412">
        <f t="shared" si="1"/>
        <v>7</v>
      </c>
      <c r="K2" s="412">
        <f t="shared" si="1"/>
        <v>8</v>
      </c>
      <c r="L2" s="412">
        <f t="shared" si="1"/>
        <v>9</v>
      </c>
      <c r="M2" s="412">
        <f t="shared" si="1"/>
        <v>10</v>
      </c>
      <c r="N2" s="412">
        <f t="shared" si="1"/>
        <v>11</v>
      </c>
      <c r="O2" s="412">
        <f t="shared" si="1"/>
        <v>12</v>
      </c>
      <c r="P2" s="412">
        <f t="shared" si="1"/>
        <v>13</v>
      </c>
      <c r="Q2" s="412">
        <f t="shared" si="1"/>
        <v>14</v>
      </c>
      <c r="R2" s="412">
        <f t="shared" si="1"/>
        <v>15</v>
      </c>
      <c r="S2" s="412">
        <f t="shared" si="1"/>
        <v>16</v>
      </c>
      <c r="T2" s="412">
        <f t="shared" si="1"/>
        <v>17</v>
      </c>
      <c r="U2" s="412">
        <f t="shared" si="1"/>
        <v>18</v>
      </c>
      <c r="V2" s="412">
        <f t="shared" si="1"/>
        <v>19</v>
      </c>
      <c r="W2" s="412">
        <f t="shared" si="1"/>
        <v>20</v>
      </c>
      <c r="X2" s="412">
        <f t="shared" si="1"/>
        <v>21</v>
      </c>
      <c r="Y2" s="412">
        <f t="shared" si="1"/>
        <v>22</v>
      </c>
      <c r="Z2" s="412">
        <f t="shared" si="1"/>
        <v>23</v>
      </c>
      <c r="AA2" s="412">
        <f t="shared" si="1"/>
        <v>24</v>
      </c>
      <c r="AB2" s="412">
        <f t="shared" si="1"/>
        <v>25</v>
      </c>
      <c r="AC2" s="412">
        <f t="shared" si="1"/>
        <v>26</v>
      </c>
      <c r="AD2" s="412">
        <f t="shared" si="1"/>
        <v>27</v>
      </c>
      <c r="AE2" s="412">
        <f t="shared" si="1"/>
        <v>28</v>
      </c>
      <c r="AF2" s="412">
        <f t="shared" si="1"/>
        <v>29</v>
      </c>
      <c r="AG2" s="412">
        <f t="shared" si="1"/>
        <v>30</v>
      </c>
      <c r="AH2" s="412">
        <f t="shared" si="1"/>
        <v>31</v>
      </c>
      <c r="AI2" s="435" t="s">
        <v>950</v>
      </c>
      <c r="AJ2" s="412">
        <v>40</v>
      </c>
      <c r="AK2" s="412">
        <f t="shared" si="1"/>
        <v>41</v>
      </c>
      <c r="AL2" s="412">
        <f t="shared" si="1"/>
        <v>42</v>
      </c>
      <c r="AM2" s="412">
        <f t="shared" si="1"/>
        <v>43</v>
      </c>
      <c r="AN2" s="412">
        <f t="shared" si="1"/>
        <v>44</v>
      </c>
      <c r="AO2" s="412">
        <f t="shared" si="1"/>
        <v>45</v>
      </c>
      <c r="AP2" s="412">
        <f t="shared" si="1"/>
        <v>46</v>
      </c>
      <c r="AQ2" s="412">
        <f t="shared" si="1"/>
        <v>47</v>
      </c>
      <c r="AR2" s="412">
        <f t="shared" si="1"/>
        <v>48</v>
      </c>
      <c r="AS2" s="412">
        <f t="shared" si="1"/>
        <v>49</v>
      </c>
      <c r="AT2" s="412">
        <f t="shared" si="1"/>
        <v>50</v>
      </c>
      <c r="AU2" s="412">
        <f t="shared" si="1"/>
        <v>51</v>
      </c>
      <c r="AV2" s="412">
        <f>AU2+1</f>
        <v>52</v>
      </c>
      <c r="AW2" s="412">
        <f t="shared" si="1"/>
        <v>53</v>
      </c>
      <c r="AX2" s="412">
        <f t="shared" si="1"/>
        <v>54</v>
      </c>
      <c r="AY2" s="412">
        <f t="shared" si="1"/>
        <v>55</v>
      </c>
      <c r="AZ2" s="412">
        <f t="shared" si="1"/>
        <v>56</v>
      </c>
      <c r="BA2" s="412">
        <f t="shared" si="1"/>
        <v>57</v>
      </c>
      <c r="BB2" s="412">
        <f t="shared" si="1"/>
        <v>58</v>
      </c>
      <c r="BC2" s="412">
        <f t="shared" si="1"/>
        <v>59</v>
      </c>
      <c r="BD2" s="412">
        <f t="shared" si="1"/>
        <v>60</v>
      </c>
      <c r="BE2" s="412">
        <f t="shared" si="1"/>
        <v>61</v>
      </c>
      <c r="BF2" s="412">
        <f t="shared" si="1"/>
        <v>62</v>
      </c>
    </row>
    <row r="3" spans="1:58" s="3" customFormat="1" ht="79.150000000000006" customHeight="1">
      <c r="A3" s="368" t="s">
        <v>6</v>
      </c>
      <c r="B3" s="368" t="s">
        <v>7</v>
      </c>
      <c r="C3" s="368"/>
      <c r="D3" s="369" t="s">
        <v>387</v>
      </c>
      <c r="E3" s="369" t="s">
        <v>941</v>
      </c>
      <c r="F3" s="369" t="s">
        <v>938</v>
      </c>
      <c r="G3" s="369" t="s">
        <v>945</v>
      </c>
      <c r="H3" s="369" t="s">
        <v>946</v>
      </c>
      <c r="I3" s="369" t="s">
        <v>919</v>
      </c>
      <c r="J3" s="369" t="s">
        <v>927</v>
      </c>
      <c r="K3" s="369" t="s">
        <v>933</v>
      </c>
      <c r="L3" s="369" t="s">
        <v>934</v>
      </c>
      <c r="M3" s="370" t="s">
        <v>920</v>
      </c>
      <c r="N3" s="369" t="s">
        <v>921</v>
      </c>
      <c r="O3" s="369" t="s">
        <v>922</v>
      </c>
      <c r="P3" s="370" t="s">
        <v>393</v>
      </c>
      <c r="Q3" s="370" t="s">
        <v>394</v>
      </c>
      <c r="R3" s="369" t="s">
        <v>1042</v>
      </c>
      <c r="S3" s="369" t="s">
        <v>928</v>
      </c>
      <c r="T3" s="369" t="s">
        <v>386</v>
      </c>
      <c r="U3" s="370" t="s">
        <v>1043</v>
      </c>
      <c r="V3" s="370" t="s">
        <v>390</v>
      </c>
      <c r="W3" s="370" t="s">
        <v>940</v>
      </c>
      <c r="X3" s="370" t="s">
        <v>793</v>
      </c>
      <c r="Y3" s="370" t="s">
        <v>810</v>
      </c>
      <c r="Z3" s="369" t="s">
        <v>923</v>
      </c>
      <c r="AA3" s="369" t="s">
        <v>924</v>
      </c>
      <c r="AB3" s="370" t="s">
        <v>929</v>
      </c>
      <c r="AC3" s="370" t="s">
        <v>1044</v>
      </c>
      <c r="AD3" s="370" t="s">
        <v>932</v>
      </c>
      <c r="AE3" s="370" t="s">
        <v>930</v>
      </c>
      <c r="AF3" s="370" t="s">
        <v>931</v>
      </c>
      <c r="AG3" s="370" t="s">
        <v>935</v>
      </c>
      <c r="AH3" s="369" t="s">
        <v>925</v>
      </c>
      <c r="AI3" s="369" t="s">
        <v>1045</v>
      </c>
      <c r="AJ3" s="369" t="s">
        <v>1036</v>
      </c>
      <c r="AK3" s="370" t="s">
        <v>936</v>
      </c>
      <c r="AL3" s="369" t="s">
        <v>1038</v>
      </c>
      <c r="AM3" s="369" t="s">
        <v>1039</v>
      </c>
      <c r="AN3" s="369" t="s">
        <v>926</v>
      </c>
      <c r="AO3" s="369" t="s">
        <v>811</v>
      </c>
      <c r="AP3" s="369" t="s">
        <v>939</v>
      </c>
      <c r="AQ3" s="369" t="s">
        <v>385</v>
      </c>
      <c r="AR3" s="369" t="s">
        <v>956</v>
      </c>
      <c r="AS3" s="370" t="s">
        <v>392</v>
      </c>
      <c r="AT3" s="369" t="s">
        <v>399</v>
      </c>
      <c r="AU3" s="370" t="s">
        <v>400</v>
      </c>
      <c r="AV3" s="369" t="s">
        <v>947</v>
      </c>
      <c r="AW3" s="369" t="s">
        <v>942</v>
      </c>
      <c r="AX3" s="369" t="s">
        <v>953</v>
      </c>
      <c r="AY3" s="369" t="s">
        <v>957</v>
      </c>
      <c r="AZ3" s="370" t="s">
        <v>958</v>
      </c>
      <c r="BA3" s="369" t="s">
        <v>977</v>
      </c>
      <c r="BB3" s="369"/>
      <c r="BC3" s="369"/>
      <c r="BD3" s="369"/>
      <c r="BE3" s="369"/>
      <c r="BF3" s="369"/>
    </row>
    <row r="4" spans="1:58" s="412" customFormat="1" ht="14.1" customHeight="1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</row>
    <row r="5" spans="1:58" s="412" customFormat="1" ht="14.1" customHeight="1"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</row>
    <row r="6" spans="1:58" ht="13.5" customHeight="1"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</row>
    <row r="7" spans="1:58" ht="14.1" customHeight="1">
      <c r="A7" s="412">
        <v>1</v>
      </c>
      <c r="B7" s="89" t="s">
        <v>319</v>
      </c>
      <c r="C7" s="38">
        <f>SUM(D7:BF7)</f>
        <v>-54616175.950000003</v>
      </c>
      <c r="D7" s="10">
        <f t="shared" ref="D7:E9" si="2">D251</f>
        <v>-6396832</v>
      </c>
      <c r="E7" s="10">
        <f t="shared" si="2"/>
        <v>-16524933</v>
      </c>
      <c r="F7" s="10">
        <f t="shared" ref="F7" si="3">F251</f>
        <v>0</v>
      </c>
      <c r="G7" s="10">
        <f>G251</f>
        <v>0</v>
      </c>
      <c r="H7" s="10">
        <f t="shared" ref="H7" si="4">H251</f>
        <v>-38428928</v>
      </c>
      <c r="I7" s="10">
        <f t="shared" ref="I7:K9" si="5">I251</f>
        <v>0</v>
      </c>
      <c r="J7" s="261">
        <f t="shared" si="5"/>
        <v>4574472</v>
      </c>
      <c r="K7" s="10">
        <f t="shared" si="5"/>
        <v>-5313052</v>
      </c>
      <c r="L7" s="10">
        <f t="shared" ref="L7" si="6">L251</f>
        <v>0</v>
      </c>
      <c r="M7" s="10">
        <f t="shared" ref="M7:AB7" si="7">M251</f>
        <v>0</v>
      </c>
      <c r="N7" s="10">
        <f t="shared" si="7"/>
        <v>-246772</v>
      </c>
      <c r="O7" s="10">
        <f t="shared" si="7"/>
        <v>-303011</v>
      </c>
      <c r="P7" s="10">
        <f t="shared" si="7"/>
        <v>1025522.14</v>
      </c>
      <c r="Q7" s="10">
        <f t="shared" si="7"/>
        <v>-3265666.33</v>
      </c>
      <c r="R7" s="10">
        <f t="shared" si="7"/>
        <v>10325612.33</v>
      </c>
      <c r="S7" s="10">
        <f t="shared" si="7"/>
        <v>0</v>
      </c>
      <c r="T7" s="10">
        <f t="shared" si="7"/>
        <v>0</v>
      </c>
      <c r="U7" s="10">
        <f t="shared" si="7"/>
        <v>0</v>
      </c>
      <c r="V7" s="10">
        <f t="shared" si="7"/>
        <v>0</v>
      </c>
      <c r="W7" s="10">
        <f t="shared" si="7"/>
        <v>0</v>
      </c>
      <c r="X7" s="10">
        <f t="shared" si="7"/>
        <v>0</v>
      </c>
      <c r="Y7" s="10">
        <f t="shared" si="7"/>
        <v>0</v>
      </c>
      <c r="Z7" s="10">
        <f t="shared" si="7"/>
        <v>0</v>
      </c>
      <c r="AA7" s="10">
        <f t="shared" si="7"/>
        <v>0</v>
      </c>
      <c r="AB7" s="10">
        <f t="shared" si="7"/>
        <v>0</v>
      </c>
      <c r="AC7" s="10">
        <f t="shared" ref="AC7" si="8">AC251</f>
        <v>0</v>
      </c>
      <c r="AD7" s="10">
        <f t="shared" ref="AD7:AE9" si="9">AD251</f>
        <v>0</v>
      </c>
      <c r="AE7" s="10">
        <f t="shared" si="9"/>
        <v>0</v>
      </c>
      <c r="AF7" s="10">
        <f t="shared" ref="AF7" si="10">AF251</f>
        <v>0</v>
      </c>
      <c r="AG7" s="10">
        <f t="shared" ref="AG7" si="11">AG251</f>
        <v>0</v>
      </c>
      <c r="AH7" s="10">
        <f t="shared" ref="AH7:AI9" si="12">AH251</f>
        <v>0</v>
      </c>
      <c r="AI7" s="10">
        <f t="shared" si="12"/>
        <v>0</v>
      </c>
      <c r="AJ7" s="10">
        <f t="shared" ref="AJ7" si="13">AJ251</f>
        <v>0</v>
      </c>
      <c r="AK7" s="10">
        <f t="shared" ref="AK7:AU7" si="14">AK251</f>
        <v>0</v>
      </c>
      <c r="AL7" s="10">
        <f t="shared" si="14"/>
        <v>0</v>
      </c>
      <c r="AM7" s="10">
        <f t="shared" si="14"/>
        <v>0</v>
      </c>
      <c r="AN7" s="10">
        <f t="shared" si="14"/>
        <v>0</v>
      </c>
      <c r="AO7" s="10">
        <f t="shared" si="14"/>
        <v>0</v>
      </c>
      <c r="AP7" s="10">
        <f t="shared" ref="AP7" si="15">AP251</f>
        <v>0</v>
      </c>
      <c r="AQ7" s="10">
        <f t="shared" si="14"/>
        <v>0</v>
      </c>
      <c r="AR7" s="10">
        <f t="shared" si="14"/>
        <v>0</v>
      </c>
      <c r="AS7" s="10">
        <f t="shared" si="14"/>
        <v>0</v>
      </c>
      <c r="AT7" s="10">
        <f t="shared" si="14"/>
        <v>0</v>
      </c>
      <c r="AU7" s="10">
        <f t="shared" si="14"/>
        <v>0</v>
      </c>
      <c r="AV7" s="10">
        <f t="shared" ref="AV7:AW9" si="16">AV251</f>
        <v>0</v>
      </c>
      <c r="AW7" s="10">
        <f t="shared" si="16"/>
        <v>0</v>
      </c>
      <c r="AX7" s="10">
        <f t="shared" ref="AX7:AY7" si="17">AX251</f>
        <v>-62588.09</v>
      </c>
      <c r="AY7" s="10">
        <f t="shared" si="17"/>
        <v>0</v>
      </c>
      <c r="AZ7" s="10">
        <f t="shared" ref="AZ7:BE9" si="18">AZ251</f>
        <v>0</v>
      </c>
      <c r="BA7" s="10">
        <f t="shared" si="18"/>
        <v>0</v>
      </c>
      <c r="BB7" s="10">
        <f t="shared" si="18"/>
        <v>0</v>
      </c>
      <c r="BC7" s="10">
        <f t="shared" si="18"/>
        <v>0</v>
      </c>
      <c r="BD7" s="10">
        <f t="shared" si="18"/>
        <v>0</v>
      </c>
      <c r="BE7" s="10">
        <f t="shared" si="18"/>
        <v>0</v>
      </c>
      <c r="BF7" s="10">
        <f t="shared" ref="BF7:BF9" si="19">BF251</f>
        <v>0</v>
      </c>
    </row>
    <row r="8" spans="1:58" ht="14.1" customHeight="1">
      <c r="A8" s="412">
        <f>A7+1</f>
        <v>2</v>
      </c>
      <c r="B8" s="134" t="s">
        <v>14</v>
      </c>
      <c r="C8" s="38">
        <f>SUM(D8:BF8)</f>
        <v>0</v>
      </c>
      <c r="D8" s="10">
        <f t="shared" si="2"/>
        <v>0</v>
      </c>
      <c r="E8" s="10">
        <f t="shared" si="2"/>
        <v>0</v>
      </c>
      <c r="F8" s="10">
        <f t="shared" ref="F8" si="20">F252</f>
        <v>0</v>
      </c>
      <c r="G8" s="10">
        <f t="shared" ref="G8" si="21">G252</f>
        <v>0</v>
      </c>
      <c r="H8" s="10">
        <f t="shared" ref="H8" si="22">H252</f>
        <v>0</v>
      </c>
      <c r="I8" s="10">
        <f t="shared" si="5"/>
        <v>0</v>
      </c>
      <c r="J8" s="10">
        <f t="shared" si="5"/>
        <v>0</v>
      </c>
      <c r="K8" s="10">
        <f t="shared" si="5"/>
        <v>0</v>
      </c>
      <c r="L8" s="10">
        <f t="shared" ref="L8" si="23">L252</f>
        <v>0</v>
      </c>
      <c r="M8" s="10">
        <f t="shared" ref="M8:AB8" si="24">M252</f>
        <v>0</v>
      </c>
      <c r="N8" s="10">
        <f t="shared" si="24"/>
        <v>0</v>
      </c>
      <c r="O8" s="10">
        <f t="shared" si="24"/>
        <v>0</v>
      </c>
      <c r="P8" s="10">
        <f t="shared" si="24"/>
        <v>0</v>
      </c>
      <c r="Q8" s="10">
        <f t="shared" si="24"/>
        <v>0</v>
      </c>
      <c r="R8" s="10">
        <f t="shared" si="24"/>
        <v>0</v>
      </c>
      <c r="S8" s="10">
        <f t="shared" si="24"/>
        <v>0</v>
      </c>
      <c r="T8" s="10">
        <f t="shared" si="24"/>
        <v>0</v>
      </c>
      <c r="U8" s="10">
        <f t="shared" si="24"/>
        <v>0</v>
      </c>
      <c r="V8" s="10">
        <f t="shared" si="24"/>
        <v>0</v>
      </c>
      <c r="W8" s="10">
        <f t="shared" si="24"/>
        <v>0</v>
      </c>
      <c r="X8" s="10">
        <f t="shared" si="24"/>
        <v>0</v>
      </c>
      <c r="Y8" s="10">
        <f t="shared" si="24"/>
        <v>0</v>
      </c>
      <c r="Z8" s="10">
        <f t="shared" si="24"/>
        <v>0</v>
      </c>
      <c r="AA8" s="10">
        <f t="shared" si="24"/>
        <v>0</v>
      </c>
      <c r="AB8" s="10">
        <f t="shared" si="24"/>
        <v>0</v>
      </c>
      <c r="AC8" s="10">
        <f t="shared" ref="AC8" si="25">AC252</f>
        <v>0</v>
      </c>
      <c r="AD8" s="10">
        <f t="shared" si="9"/>
        <v>0</v>
      </c>
      <c r="AE8" s="10">
        <f t="shared" si="9"/>
        <v>0</v>
      </c>
      <c r="AF8" s="10">
        <f t="shared" ref="AF8" si="26">AF252</f>
        <v>0</v>
      </c>
      <c r="AG8" s="10">
        <f t="shared" ref="AG8" si="27">AG252</f>
        <v>0</v>
      </c>
      <c r="AH8" s="10">
        <f t="shared" si="12"/>
        <v>0</v>
      </c>
      <c r="AI8" s="10">
        <f t="shared" si="12"/>
        <v>0</v>
      </c>
      <c r="AJ8" s="10">
        <f t="shared" ref="AJ8" si="28">AJ252</f>
        <v>0</v>
      </c>
      <c r="AK8" s="10">
        <f t="shared" ref="AK8:AU8" si="29">AK252</f>
        <v>0</v>
      </c>
      <c r="AL8" s="10">
        <f t="shared" si="29"/>
        <v>0</v>
      </c>
      <c r="AM8" s="10">
        <f t="shared" si="29"/>
        <v>0</v>
      </c>
      <c r="AN8" s="10">
        <f t="shared" si="29"/>
        <v>0</v>
      </c>
      <c r="AO8" s="10">
        <f t="shared" si="29"/>
        <v>0</v>
      </c>
      <c r="AP8" s="10">
        <f t="shared" ref="AP8" si="30">AP252</f>
        <v>0</v>
      </c>
      <c r="AQ8" s="10">
        <f t="shared" si="29"/>
        <v>0</v>
      </c>
      <c r="AR8" s="10">
        <f t="shared" si="29"/>
        <v>0</v>
      </c>
      <c r="AS8" s="10">
        <f t="shared" si="29"/>
        <v>0</v>
      </c>
      <c r="AT8" s="10">
        <f t="shared" si="29"/>
        <v>0</v>
      </c>
      <c r="AU8" s="10">
        <f t="shared" si="29"/>
        <v>0</v>
      </c>
      <c r="AV8" s="10">
        <f t="shared" si="16"/>
        <v>0</v>
      </c>
      <c r="AW8" s="10">
        <f t="shared" si="16"/>
        <v>0</v>
      </c>
      <c r="AX8" s="10">
        <f t="shared" ref="AX8:AZ9" si="31">AX252</f>
        <v>0</v>
      </c>
      <c r="AY8" s="10">
        <f t="shared" si="31"/>
        <v>0</v>
      </c>
      <c r="AZ8" s="10">
        <f t="shared" si="31"/>
        <v>0</v>
      </c>
      <c r="BA8" s="10">
        <f t="shared" si="18"/>
        <v>0</v>
      </c>
      <c r="BB8" s="10">
        <f t="shared" si="18"/>
        <v>0</v>
      </c>
      <c r="BC8" s="10">
        <f t="shared" si="18"/>
        <v>0</v>
      </c>
      <c r="BD8" s="10">
        <f t="shared" si="18"/>
        <v>0</v>
      </c>
      <c r="BE8" s="10">
        <f t="shared" si="18"/>
        <v>0</v>
      </c>
      <c r="BF8" s="10">
        <f t="shared" si="19"/>
        <v>0</v>
      </c>
    </row>
    <row r="9" spans="1:58" ht="14.1" customHeight="1">
      <c r="A9" s="412">
        <f>A8+1</f>
        <v>3</v>
      </c>
      <c r="B9" s="89" t="s">
        <v>15</v>
      </c>
      <c r="C9" s="38">
        <f>SUM(D9:BF9)</f>
        <v>0</v>
      </c>
      <c r="D9" s="10">
        <f t="shared" si="2"/>
        <v>0</v>
      </c>
      <c r="E9" s="10">
        <f t="shared" si="2"/>
        <v>0</v>
      </c>
      <c r="F9" s="10">
        <f t="shared" ref="F9" si="32">F253</f>
        <v>0</v>
      </c>
      <c r="G9" s="10">
        <f t="shared" ref="G9" si="33">G253</f>
        <v>0</v>
      </c>
      <c r="H9" s="10">
        <f t="shared" ref="H9" si="34">H253</f>
        <v>0</v>
      </c>
      <c r="I9" s="10">
        <f t="shared" si="5"/>
        <v>0</v>
      </c>
      <c r="J9" s="10">
        <f t="shared" si="5"/>
        <v>0</v>
      </c>
      <c r="K9" s="10">
        <f t="shared" si="5"/>
        <v>0</v>
      </c>
      <c r="L9" s="10">
        <f t="shared" ref="L9" si="35">L253</f>
        <v>0</v>
      </c>
      <c r="M9" s="10">
        <f t="shared" ref="M9:AB9" si="36">M253</f>
        <v>0</v>
      </c>
      <c r="N9" s="10">
        <f t="shared" si="36"/>
        <v>0</v>
      </c>
      <c r="O9" s="10">
        <f t="shared" si="36"/>
        <v>0</v>
      </c>
      <c r="P9" s="10">
        <f t="shared" si="36"/>
        <v>0</v>
      </c>
      <c r="Q9" s="10">
        <f t="shared" si="36"/>
        <v>0</v>
      </c>
      <c r="R9" s="10">
        <f t="shared" si="36"/>
        <v>0</v>
      </c>
      <c r="S9" s="10">
        <f t="shared" si="36"/>
        <v>0</v>
      </c>
      <c r="T9" s="10">
        <f t="shared" si="36"/>
        <v>0</v>
      </c>
      <c r="U9" s="10">
        <f t="shared" si="36"/>
        <v>0</v>
      </c>
      <c r="V9" s="10">
        <f t="shared" si="36"/>
        <v>0</v>
      </c>
      <c r="W9" s="10">
        <f t="shared" si="36"/>
        <v>0</v>
      </c>
      <c r="X9" s="10">
        <f t="shared" si="36"/>
        <v>0</v>
      </c>
      <c r="Y9" s="10">
        <f t="shared" si="36"/>
        <v>0</v>
      </c>
      <c r="Z9" s="10">
        <f t="shared" si="36"/>
        <v>0</v>
      </c>
      <c r="AA9" s="10">
        <f t="shared" si="36"/>
        <v>0</v>
      </c>
      <c r="AB9" s="10">
        <f t="shared" si="36"/>
        <v>0</v>
      </c>
      <c r="AC9" s="10">
        <f t="shared" ref="AC9" si="37">AC253</f>
        <v>0</v>
      </c>
      <c r="AD9" s="10">
        <f t="shared" si="9"/>
        <v>0</v>
      </c>
      <c r="AE9" s="10">
        <f t="shared" si="9"/>
        <v>0</v>
      </c>
      <c r="AF9" s="10">
        <f t="shared" ref="AF9" si="38">AF253</f>
        <v>0</v>
      </c>
      <c r="AG9" s="10">
        <f t="shared" ref="AG9" si="39">AG253</f>
        <v>0</v>
      </c>
      <c r="AH9" s="10">
        <f t="shared" si="12"/>
        <v>0</v>
      </c>
      <c r="AI9" s="10">
        <f t="shared" si="12"/>
        <v>0</v>
      </c>
      <c r="AJ9" s="10">
        <f t="shared" ref="AJ9" si="40">AJ253</f>
        <v>0</v>
      </c>
      <c r="AK9" s="10">
        <f t="shared" ref="AK9:AU9" si="41">AK253</f>
        <v>0</v>
      </c>
      <c r="AL9" s="10">
        <f t="shared" si="41"/>
        <v>0</v>
      </c>
      <c r="AM9" s="10">
        <f t="shared" si="41"/>
        <v>0</v>
      </c>
      <c r="AN9" s="10">
        <f t="shared" si="41"/>
        <v>0</v>
      </c>
      <c r="AO9" s="10">
        <f t="shared" si="41"/>
        <v>0</v>
      </c>
      <c r="AP9" s="10">
        <f t="shared" ref="AP9" si="42">AP253</f>
        <v>0</v>
      </c>
      <c r="AQ9" s="10">
        <f t="shared" si="41"/>
        <v>0</v>
      </c>
      <c r="AR9" s="10">
        <f t="shared" si="41"/>
        <v>0</v>
      </c>
      <c r="AS9" s="10">
        <f t="shared" si="41"/>
        <v>0</v>
      </c>
      <c r="AT9" s="10">
        <f t="shared" si="41"/>
        <v>0</v>
      </c>
      <c r="AU9" s="10">
        <f t="shared" si="41"/>
        <v>0</v>
      </c>
      <c r="AV9" s="10">
        <f t="shared" si="16"/>
        <v>0</v>
      </c>
      <c r="AW9" s="10">
        <f t="shared" si="16"/>
        <v>0</v>
      </c>
      <c r="AX9" s="10">
        <f t="shared" si="31"/>
        <v>0</v>
      </c>
      <c r="AY9" s="10">
        <f t="shared" si="31"/>
        <v>0</v>
      </c>
      <c r="AZ9" s="10">
        <f t="shared" si="31"/>
        <v>0</v>
      </c>
      <c r="BA9" s="10">
        <f t="shared" si="18"/>
        <v>0</v>
      </c>
      <c r="BB9" s="10">
        <f t="shared" si="18"/>
        <v>0</v>
      </c>
      <c r="BC9" s="10">
        <f t="shared" si="18"/>
        <v>0</v>
      </c>
      <c r="BD9" s="10">
        <f t="shared" si="18"/>
        <v>0</v>
      </c>
      <c r="BE9" s="10">
        <f t="shared" si="18"/>
        <v>0</v>
      </c>
      <c r="BF9" s="10">
        <f t="shared" si="19"/>
        <v>0</v>
      </c>
    </row>
    <row r="10" spans="1:58" ht="14.1" customHeight="1">
      <c r="A10" s="412">
        <f>+A9+1</f>
        <v>4</v>
      </c>
      <c r="B10" s="89" t="s">
        <v>16</v>
      </c>
      <c r="C10" s="38">
        <f>SUM(D10:BF10)</f>
        <v>-15328304</v>
      </c>
      <c r="D10" s="10">
        <f>D288</f>
        <v>0</v>
      </c>
      <c r="E10" s="10">
        <f>E288</f>
        <v>0</v>
      </c>
      <c r="F10" s="10">
        <f t="shared" ref="F10" si="43">F288</f>
        <v>0</v>
      </c>
      <c r="G10" s="10">
        <f t="shared" ref="G10" si="44">G288</f>
        <v>0</v>
      </c>
      <c r="H10" s="10">
        <f t="shared" ref="H10:BE10" si="45">H288</f>
        <v>0</v>
      </c>
      <c r="I10" s="10">
        <f>I288</f>
        <v>0</v>
      </c>
      <c r="J10" s="10">
        <f>J288</f>
        <v>0</v>
      </c>
      <c r="K10" s="10">
        <f>K288</f>
        <v>0</v>
      </c>
      <c r="L10" s="10">
        <f t="shared" ref="L10" si="46">L288</f>
        <v>0</v>
      </c>
      <c r="M10" s="10">
        <f t="shared" ref="M10:AB10" si="47">M288</f>
        <v>-12563569</v>
      </c>
      <c r="N10" s="10">
        <f t="shared" si="47"/>
        <v>0</v>
      </c>
      <c r="O10" s="10">
        <f t="shared" si="47"/>
        <v>0</v>
      </c>
      <c r="P10" s="10">
        <f t="shared" si="47"/>
        <v>0</v>
      </c>
      <c r="Q10" s="10">
        <f t="shared" si="47"/>
        <v>0</v>
      </c>
      <c r="R10" s="10">
        <f t="shared" si="47"/>
        <v>0</v>
      </c>
      <c r="S10" s="10">
        <f t="shared" si="47"/>
        <v>0</v>
      </c>
      <c r="T10" s="10">
        <f t="shared" si="47"/>
        <v>0</v>
      </c>
      <c r="U10" s="10">
        <f t="shared" si="47"/>
        <v>0</v>
      </c>
      <c r="V10" s="10">
        <f t="shared" si="47"/>
        <v>0</v>
      </c>
      <c r="W10" s="10">
        <f t="shared" si="47"/>
        <v>0</v>
      </c>
      <c r="X10" s="10">
        <f t="shared" si="47"/>
        <v>0</v>
      </c>
      <c r="Y10" s="10">
        <f t="shared" si="47"/>
        <v>0</v>
      </c>
      <c r="Z10" s="10">
        <f t="shared" si="47"/>
        <v>0</v>
      </c>
      <c r="AA10" s="10">
        <f t="shared" si="47"/>
        <v>0</v>
      </c>
      <c r="AB10" s="10">
        <f t="shared" si="47"/>
        <v>0</v>
      </c>
      <c r="AC10" s="10">
        <f t="shared" ref="AC10" si="48">AC288</f>
        <v>0</v>
      </c>
      <c r="AD10" s="10">
        <f>AD288</f>
        <v>0</v>
      </c>
      <c r="AE10" s="10">
        <f>AE288</f>
        <v>-3297104</v>
      </c>
      <c r="AF10" s="10">
        <f t="shared" ref="AF10" si="49">AF288</f>
        <v>0</v>
      </c>
      <c r="AG10" s="10">
        <f t="shared" ref="AG10" si="50">AG288</f>
        <v>0</v>
      </c>
      <c r="AH10" s="10">
        <f>AH288</f>
        <v>0</v>
      </c>
      <c r="AI10" s="10">
        <f>AI288</f>
        <v>0</v>
      </c>
      <c r="AJ10" s="10">
        <f t="shared" ref="AJ10" si="51">AJ288</f>
        <v>0</v>
      </c>
      <c r="AK10" s="10">
        <f t="shared" ref="AK10:AU10" si="52">AK288</f>
        <v>0</v>
      </c>
      <c r="AL10" s="10">
        <f t="shared" si="52"/>
        <v>0</v>
      </c>
      <c r="AM10" s="10">
        <f t="shared" si="52"/>
        <v>0</v>
      </c>
      <c r="AN10" s="10">
        <f t="shared" si="52"/>
        <v>0</v>
      </c>
      <c r="AO10" s="10">
        <f t="shared" si="52"/>
        <v>0</v>
      </c>
      <c r="AP10" s="10">
        <f t="shared" si="52"/>
        <v>532369</v>
      </c>
      <c r="AQ10" s="10">
        <f t="shared" si="52"/>
        <v>0</v>
      </c>
      <c r="AR10" s="10">
        <f t="shared" si="52"/>
        <v>0</v>
      </c>
      <c r="AS10" s="10">
        <f t="shared" si="52"/>
        <v>0</v>
      </c>
      <c r="AT10" s="10">
        <f t="shared" si="52"/>
        <v>0</v>
      </c>
      <c r="AU10" s="10">
        <f t="shared" si="52"/>
        <v>0</v>
      </c>
      <c r="AV10" s="10">
        <f>AV288</f>
        <v>0</v>
      </c>
      <c r="AW10" s="10">
        <f>AW288</f>
        <v>0</v>
      </c>
      <c r="AX10" s="10">
        <f t="shared" si="45"/>
        <v>0</v>
      </c>
      <c r="AY10" s="10">
        <f t="shared" si="45"/>
        <v>0</v>
      </c>
      <c r="AZ10" s="10">
        <f t="shared" si="45"/>
        <v>0</v>
      </c>
      <c r="BA10" s="10">
        <f t="shared" si="45"/>
        <v>0</v>
      </c>
      <c r="BB10" s="10">
        <f t="shared" si="45"/>
        <v>0</v>
      </c>
      <c r="BC10" s="10">
        <f t="shared" si="45"/>
        <v>0</v>
      </c>
      <c r="BD10" s="10">
        <f t="shared" si="45"/>
        <v>0</v>
      </c>
      <c r="BE10" s="10">
        <f t="shared" si="45"/>
        <v>0</v>
      </c>
      <c r="BF10" s="10">
        <f>BF288</f>
        <v>0</v>
      </c>
    </row>
    <row r="11" spans="1:58" ht="14.1" customHeight="1">
      <c r="A11" s="412">
        <f t="shared" ref="A11:A74" si="53">+A10+1</f>
        <v>5</v>
      </c>
      <c r="B11" s="56" t="s">
        <v>17</v>
      </c>
      <c r="C11" s="212">
        <f>SUM(D11:BF11)</f>
        <v>-3993185.1</v>
      </c>
      <c r="D11" s="64">
        <f>D259</f>
        <v>0</v>
      </c>
      <c r="E11" s="64">
        <f>E259</f>
        <v>0</v>
      </c>
      <c r="F11" s="64">
        <f t="shared" ref="F11" si="54">F259</f>
        <v>0</v>
      </c>
      <c r="G11" s="64">
        <f t="shared" ref="G11" si="55">G259</f>
        <v>0</v>
      </c>
      <c r="H11" s="64">
        <f t="shared" ref="H11:BE11" si="56">H259</f>
        <v>0</v>
      </c>
      <c r="I11" s="64">
        <f>I259</f>
        <v>0</v>
      </c>
      <c r="J11" s="64">
        <f>J259</f>
        <v>0</v>
      </c>
      <c r="K11" s="64">
        <f>K259</f>
        <v>-3661679</v>
      </c>
      <c r="L11" s="64">
        <f t="shared" ref="L11" si="57">L259</f>
        <v>0</v>
      </c>
      <c r="M11" s="64">
        <f t="shared" ref="M11:AB11" si="58">M259</f>
        <v>0</v>
      </c>
      <c r="N11" s="64">
        <f t="shared" si="58"/>
        <v>0</v>
      </c>
      <c r="O11" s="64">
        <f t="shared" si="58"/>
        <v>0</v>
      </c>
      <c r="P11" s="64">
        <f t="shared" si="58"/>
        <v>0</v>
      </c>
      <c r="Q11" s="64">
        <f t="shared" si="58"/>
        <v>0</v>
      </c>
      <c r="R11" s="64">
        <f t="shared" si="58"/>
        <v>0</v>
      </c>
      <c r="S11" s="64">
        <f t="shared" si="58"/>
        <v>0</v>
      </c>
      <c r="T11" s="64">
        <f t="shared" si="58"/>
        <v>0</v>
      </c>
      <c r="U11" s="64">
        <f t="shared" si="58"/>
        <v>0</v>
      </c>
      <c r="V11" s="64">
        <f t="shared" si="58"/>
        <v>0</v>
      </c>
      <c r="W11" s="64">
        <f t="shared" si="58"/>
        <v>0</v>
      </c>
      <c r="X11" s="64">
        <f t="shared" si="58"/>
        <v>0</v>
      </c>
      <c r="Y11" s="64">
        <f t="shared" si="58"/>
        <v>0</v>
      </c>
      <c r="Z11" s="64">
        <f t="shared" si="58"/>
        <v>0</v>
      </c>
      <c r="AA11" s="64">
        <f t="shared" si="58"/>
        <v>0</v>
      </c>
      <c r="AB11" s="64">
        <f t="shared" si="58"/>
        <v>-331506.09999999998</v>
      </c>
      <c r="AC11" s="64">
        <f t="shared" ref="AC11" si="59">AC259</f>
        <v>0</v>
      </c>
      <c r="AD11" s="64">
        <f>AD259</f>
        <v>0</v>
      </c>
      <c r="AE11" s="64">
        <f>AE259</f>
        <v>0</v>
      </c>
      <c r="AF11" s="64">
        <f t="shared" ref="AF11" si="60">AF259</f>
        <v>0</v>
      </c>
      <c r="AG11" s="64">
        <f t="shared" ref="AG11" si="61">AG259</f>
        <v>0</v>
      </c>
      <c r="AH11" s="64">
        <f>AH259</f>
        <v>0</v>
      </c>
      <c r="AI11" s="64">
        <f>AI259</f>
        <v>0</v>
      </c>
      <c r="AJ11" s="64">
        <f t="shared" ref="AJ11" si="62">AJ259</f>
        <v>0</v>
      </c>
      <c r="AK11" s="64">
        <f t="shared" ref="AK11:AU11" si="63">AK259</f>
        <v>0</v>
      </c>
      <c r="AL11" s="64">
        <f t="shared" si="63"/>
        <v>0</v>
      </c>
      <c r="AM11" s="64">
        <f t="shared" si="63"/>
        <v>0</v>
      </c>
      <c r="AN11" s="64">
        <f t="shared" si="63"/>
        <v>0</v>
      </c>
      <c r="AO11" s="64">
        <f t="shared" si="63"/>
        <v>0</v>
      </c>
      <c r="AP11" s="64">
        <f t="shared" ref="AP11" si="64">AP259</f>
        <v>0</v>
      </c>
      <c r="AQ11" s="64">
        <f t="shared" si="63"/>
        <v>0</v>
      </c>
      <c r="AR11" s="64">
        <f t="shared" si="63"/>
        <v>0</v>
      </c>
      <c r="AS11" s="64">
        <f t="shared" si="63"/>
        <v>0</v>
      </c>
      <c r="AT11" s="64">
        <f t="shared" si="63"/>
        <v>0</v>
      </c>
      <c r="AU11" s="64">
        <f t="shared" si="63"/>
        <v>0</v>
      </c>
      <c r="AV11" s="64">
        <f>AV259</f>
        <v>0</v>
      </c>
      <c r="AW11" s="64">
        <f>AW259</f>
        <v>0</v>
      </c>
      <c r="AX11" s="64">
        <f t="shared" si="56"/>
        <v>0</v>
      </c>
      <c r="AY11" s="64">
        <f t="shared" si="56"/>
        <v>0</v>
      </c>
      <c r="AZ11" s="64">
        <f t="shared" si="56"/>
        <v>0</v>
      </c>
      <c r="BA11" s="64">
        <f t="shared" si="56"/>
        <v>0</v>
      </c>
      <c r="BB11" s="64">
        <f t="shared" si="56"/>
        <v>0</v>
      </c>
      <c r="BC11" s="64">
        <f t="shared" si="56"/>
        <v>0</v>
      </c>
      <c r="BD11" s="64">
        <f t="shared" si="56"/>
        <v>0</v>
      </c>
      <c r="BE11" s="64">
        <f t="shared" si="56"/>
        <v>0</v>
      </c>
      <c r="BF11" s="64">
        <f>BF259</f>
        <v>0</v>
      </c>
    </row>
    <row r="12" spans="1:58" s="18" customFormat="1" ht="14.1" customHeight="1">
      <c r="A12" s="412">
        <f t="shared" si="53"/>
        <v>6</v>
      </c>
      <c r="B12" s="2" t="s">
        <v>18</v>
      </c>
      <c r="C12" s="16">
        <f>SUM(C7:C11)</f>
        <v>-73937665.049999997</v>
      </c>
      <c r="D12" s="16">
        <f>SUM(D7:D11)</f>
        <v>-6396832</v>
      </c>
      <c r="E12" s="16">
        <f>SUM(E7:E11)</f>
        <v>-16524933</v>
      </c>
      <c r="F12" s="16">
        <f t="shared" ref="F12" si="65">SUM(F7:F11)</f>
        <v>0</v>
      </c>
      <c r="G12" s="16">
        <f t="shared" ref="G12" si="66">SUM(G7:G11)</f>
        <v>0</v>
      </c>
      <c r="H12" s="16">
        <f t="shared" ref="H12:BE12" si="67">SUM(H7:H11)</f>
        <v>-38428928</v>
      </c>
      <c r="I12" s="16">
        <f>SUM(I7:I11)</f>
        <v>0</v>
      </c>
      <c r="J12" s="16">
        <f>SUM(J7:J11)</f>
        <v>4574472</v>
      </c>
      <c r="K12" s="16">
        <f>SUM(K7:K11)</f>
        <v>-8974731</v>
      </c>
      <c r="L12" s="16">
        <f t="shared" ref="L12" si="68">SUM(L7:L11)</f>
        <v>0</v>
      </c>
      <c r="M12" s="16">
        <f t="shared" ref="M12:AB12" si="69">SUM(M7:M11)</f>
        <v>-12563569</v>
      </c>
      <c r="N12" s="16">
        <f t="shared" si="69"/>
        <v>-246772</v>
      </c>
      <c r="O12" s="16">
        <f t="shared" si="69"/>
        <v>-303011</v>
      </c>
      <c r="P12" s="16">
        <f t="shared" si="69"/>
        <v>1025522.14</v>
      </c>
      <c r="Q12" s="16">
        <f t="shared" si="69"/>
        <v>-3265666.33</v>
      </c>
      <c r="R12" s="16">
        <f t="shared" si="69"/>
        <v>10325612.33</v>
      </c>
      <c r="S12" s="16">
        <f t="shared" si="69"/>
        <v>0</v>
      </c>
      <c r="T12" s="16">
        <f t="shared" si="69"/>
        <v>0</v>
      </c>
      <c r="U12" s="16">
        <f t="shared" si="69"/>
        <v>0</v>
      </c>
      <c r="V12" s="16">
        <f t="shared" si="69"/>
        <v>0</v>
      </c>
      <c r="W12" s="16">
        <f t="shared" si="69"/>
        <v>0</v>
      </c>
      <c r="X12" s="16">
        <f t="shared" si="69"/>
        <v>0</v>
      </c>
      <c r="Y12" s="16">
        <f t="shared" si="69"/>
        <v>0</v>
      </c>
      <c r="Z12" s="16">
        <f t="shared" si="69"/>
        <v>0</v>
      </c>
      <c r="AA12" s="16">
        <f t="shared" si="69"/>
        <v>0</v>
      </c>
      <c r="AB12" s="16">
        <f t="shared" si="69"/>
        <v>-331506.09999999998</v>
      </c>
      <c r="AC12" s="16">
        <f t="shared" ref="AC12" si="70">SUM(AC7:AC11)</f>
        <v>0</v>
      </c>
      <c r="AD12" s="16">
        <f>SUM(AD7:AD11)</f>
        <v>0</v>
      </c>
      <c r="AE12" s="16">
        <f>SUM(AE7:AE11)</f>
        <v>-3297104</v>
      </c>
      <c r="AF12" s="16">
        <f t="shared" ref="AF12" si="71">SUM(AF7:AF11)</f>
        <v>0</v>
      </c>
      <c r="AG12" s="16">
        <f t="shared" ref="AG12" si="72">SUM(AG7:AG11)</f>
        <v>0</v>
      </c>
      <c r="AH12" s="16">
        <f>SUM(AH7:AH11)</f>
        <v>0</v>
      </c>
      <c r="AI12" s="16">
        <f>SUM(AI7:AI11)</f>
        <v>0</v>
      </c>
      <c r="AJ12" s="16">
        <f t="shared" ref="AJ12" si="73">SUM(AJ7:AJ11)</f>
        <v>0</v>
      </c>
      <c r="AK12" s="16">
        <f t="shared" ref="AK12:AU12" si="74">SUM(AK7:AK11)</f>
        <v>0</v>
      </c>
      <c r="AL12" s="16">
        <f t="shared" si="74"/>
        <v>0</v>
      </c>
      <c r="AM12" s="16">
        <f t="shared" si="74"/>
        <v>0</v>
      </c>
      <c r="AN12" s="16">
        <f t="shared" si="74"/>
        <v>0</v>
      </c>
      <c r="AO12" s="16">
        <f t="shared" si="74"/>
        <v>0</v>
      </c>
      <c r="AP12" s="16">
        <f t="shared" si="74"/>
        <v>532369</v>
      </c>
      <c r="AQ12" s="16">
        <f t="shared" si="74"/>
        <v>0</v>
      </c>
      <c r="AR12" s="16">
        <f t="shared" si="74"/>
        <v>0</v>
      </c>
      <c r="AS12" s="16">
        <f t="shared" si="74"/>
        <v>0</v>
      </c>
      <c r="AT12" s="16">
        <f t="shared" si="74"/>
        <v>0</v>
      </c>
      <c r="AU12" s="16">
        <f t="shared" si="74"/>
        <v>0</v>
      </c>
      <c r="AV12" s="16">
        <f>SUM(AV7:AV11)</f>
        <v>0</v>
      </c>
      <c r="AW12" s="16">
        <f>SUM(AW7:AW11)</f>
        <v>0</v>
      </c>
      <c r="AX12" s="16">
        <f t="shared" si="67"/>
        <v>-62588.09</v>
      </c>
      <c r="AY12" s="16">
        <f t="shared" si="67"/>
        <v>0</v>
      </c>
      <c r="AZ12" s="16">
        <f t="shared" si="67"/>
        <v>0</v>
      </c>
      <c r="BA12" s="16">
        <f t="shared" si="67"/>
        <v>0</v>
      </c>
      <c r="BB12" s="16">
        <f t="shared" si="67"/>
        <v>0</v>
      </c>
      <c r="BC12" s="16">
        <f t="shared" si="67"/>
        <v>0</v>
      </c>
      <c r="BD12" s="16">
        <f t="shared" si="67"/>
        <v>0</v>
      </c>
      <c r="BE12" s="16">
        <f t="shared" si="67"/>
        <v>0</v>
      </c>
      <c r="BF12" s="16">
        <f>SUM(BF7:BF11)</f>
        <v>0</v>
      </c>
    </row>
    <row r="13" spans="1:58" s="18" customFormat="1" ht="14.1" customHeight="1">
      <c r="A13" s="412">
        <f t="shared" si="53"/>
        <v>7</v>
      </c>
      <c r="B13" s="6"/>
      <c r="C13" s="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</row>
    <row r="14" spans="1:58" ht="14.1" customHeight="1">
      <c r="A14" s="412">
        <f t="shared" si="53"/>
        <v>8</v>
      </c>
      <c r="B14" s="3" t="s">
        <v>19</v>
      </c>
      <c r="C14" s="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</row>
    <row r="15" spans="1:58" ht="14.1" customHeight="1">
      <c r="A15" s="412">
        <f t="shared" si="53"/>
        <v>9</v>
      </c>
      <c r="B15" s="89" t="s">
        <v>20</v>
      </c>
      <c r="C15" s="38">
        <f t="shared" ref="C15:C22" si="75">SUM(D15:BF15)</f>
        <v>-15129077</v>
      </c>
      <c r="D15" s="10">
        <f>D325</f>
        <v>0</v>
      </c>
      <c r="E15" s="10">
        <f>E325</f>
        <v>53</v>
      </c>
      <c r="F15" s="10">
        <f t="shared" ref="F15" si="76">F325</f>
        <v>-3927716</v>
      </c>
      <c r="G15" s="10">
        <f t="shared" ref="G15" si="77">G325</f>
        <v>0</v>
      </c>
      <c r="H15" s="10">
        <f t="shared" ref="H15:BE15" si="78">H325</f>
        <v>-667402.98</v>
      </c>
      <c r="I15" s="10">
        <f>I325</f>
        <v>-5023081</v>
      </c>
      <c r="J15" s="10">
        <f>J325</f>
        <v>2211941.64</v>
      </c>
      <c r="K15" s="10">
        <f>K325</f>
        <v>173874.68</v>
      </c>
      <c r="L15" s="10">
        <f t="shared" ref="L15" si="79">L325</f>
        <v>372542</v>
      </c>
      <c r="M15" s="10">
        <f t="shared" ref="M15:AB15" si="80">M325</f>
        <v>0</v>
      </c>
      <c r="N15" s="10">
        <f t="shared" si="80"/>
        <v>0</v>
      </c>
      <c r="O15" s="10">
        <f t="shared" si="80"/>
        <v>0</v>
      </c>
      <c r="P15" s="10">
        <f t="shared" si="80"/>
        <v>0</v>
      </c>
      <c r="Q15" s="10">
        <f t="shared" si="80"/>
        <v>-1931642</v>
      </c>
      <c r="R15" s="10">
        <f>R325</f>
        <v>5871000</v>
      </c>
      <c r="S15" s="10">
        <f t="shared" si="80"/>
        <v>0</v>
      </c>
      <c r="T15" s="10">
        <f t="shared" si="80"/>
        <v>0</v>
      </c>
      <c r="U15" s="10">
        <f t="shared" si="80"/>
        <v>0</v>
      </c>
      <c r="V15" s="10">
        <f t="shared" si="80"/>
        <v>0</v>
      </c>
      <c r="W15" s="10">
        <f t="shared" si="80"/>
        <v>0</v>
      </c>
      <c r="X15" s="10">
        <f t="shared" si="80"/>
        <v>0</v>
      </c>
      <c r="Y15" s="10">
        <f t="shared" si="80"/>
        <v>10878.220000000001</v>
      </c>
      <c r="Z15" s="10">
        <f t="shared" si="80"/>
        <v>0</v>
      </c>
      <c r="AA15" s="10">
        <f t="shared" si="80"/>
        <v>0</v>
      </c>
      <c r="AB15" s="10">
        <f t="shared" si="80"/>
        <v>-848165</v>
      </c>
      <c r="AC15" s="10">
        <f t="shared" ref="AC15" si="81">AC325</f>
        <v>-11501584</v>
      </c>
      <c r="AD15" s="10">
        <f>AD325</f>
        <v>882204</v>
      </c>
      <c r="AE15" s="10">
        <f>AE325</f>
        <v>0</v>
      </c>
      <c r="AF15" s="10">
        <f t="shared" ref="AF15" si="82">AF325</f>
        <v>0</v>
      </c>
      <c r="AG15" s="10">
        <f t="shared" ref="AG15" si="83">AG325</f>
        <v>0</v>
      </c>
      <c r="AH15" s="10">
        <f>AH325</f>
        <v>-35433</v>
      </c>
      <c r="AI15" s="10">
        <f>AI325</f>
        <v>-442194</v>
      </c>
      <c r="AJ15" s="10">
        <f t="shared" ref="AJ15" si="84">AJ325</f>
        <v>-18.559999999999999</v>
      </c>
      <c r="AK15" s="10">
        <f t="shared" ref="AK15:AU15" si="85">AK325</f>
        <v>-274334</v>
      </c>
      <c r="AL15" s="10">
        <f t="shared" si="85"/>
        <v>0</v>
      </c>
      <c r="AM15" s="10">
        <f t="shared" si="85"/>
        <v>0</v>
      </c>
      <c r="AN15" s="10">
        <f t="shared" si="85"/>
        <v>0</v>
      </c>
      <c r="AO15" s="10">
        <f t="shared" si="85"/>
        <v>0</v>
      </c>
      <c r="AP15" s="10">
        <f t="shared" si="85"/>
        <v>0</v>
      </c>
      <c r="AQ15" s="10">
        <f t="shared" si="85"/>
        <v>0</v>
      </c>
      <c r="AR15" s="10">
        <f t="shared" si="85"/>
        <v>0</v>
      </c>
      <c r="AS15" s="10">
        <f t="shared" si="85"/>
        <v>0</v>
      </c>
      <c r="AT15" s="10">
        <f t="shared" si="85"/>
        <v>0</v>
      </c>
      <c r="AU15" s="10">
        <f t="shared" si="85"/>
        <v>0</v>
      </c>
      <c r="AV15" s="10">
        <f>AV325</f>
        <v>0</v>
      </c>
      <c r="AW15" s="10">
        <f>AW325</f>
        <v>0</v>
      </c>
      <c r="AX15" s="10">
        <f t="shared" si="78"/>
        <v>0</v>
      </c>
      <c r="AY15" s="10">
        <f t="shared" si="78"/>
        <v>0</v>
      </c>
      <c r="AZ15" s="10">
        <f t="shared" si="78"/>
        <v>0</v>
      </c>
      <c r="BA15" s="10">
        <f t="shared" si="78"/>
        <v>0</v>
      </c>
      <c r="BB15" s="10">
        <f t="shared" si="78"/>
        <v>0</v>
      </c>
      <c r="BC15" s="10">
        <f t="shared" si="78"/>
        <v>0</v>
      </c>
      <c r="BD15" s="10">
        <f t="shared" si="78"/>
        <v>0</v>
      </c>
      <c r="BE15" s="10">
        <f t="shared" si="78"/>
        <v>0</v>
      </c>
      <c r="BF15" s="10">
        <f>BF325</f>
        <v>0</v>
      </c>
    </row>
    <row r="16" spans="1:58" ht="14.1" customHeight="1">
      <c r="A16" s="412">
        <f t="shared" si="53"/>
        <v>10</v>
      </c>
      <c r="B16" s="89" t="s">
        <v>21</v>
      </c>
      <c r="C16" s="38">
        <f t="shared" si="75"/>
        <v>646199.4</v>
      </c>
      <c r="D16" s="10">
        <f>D351</f>
        <v>0</v>
      </c>
      <c r="E16" s="10">
        <f>E351</f>
        <v>0</v>
      </c>
      <c r="F16" s="10">
        <f t="shared" ref="F16" si="86">F351</f>
        <v>0</v>
      </c>
      <c r="G16" s="10">
        <f t="shared" ref="G16" si="87">G351</f>
        <v>0</v>
      </c>
      <c r="H16" s="10">
        <f t="shared" ref="H16:BE16" si="88">H351</f>
        <v>0</v>
      </c>
      <c r="I16" s="10">
        <f>I351</f>
        <v>0</v>
      </c>
      <c r="J16" s="10">
        <f>J351</f>
        <v>0</v>
      </c>
      <c r="K16" s="10">
        <f>K351</f>
        <v>0</v>
      </c>
      <c r="L16" s="10">
        <f t="shared" ref="L16" si="89">L351</f>
        <v>0</v>
      </c>
      <c r="M16" s="10">
        <f t="shared" ref="M16:AB16" si="90">M351</f>
        <v>0</v>
      </c>
      <c r="N16" s="10">
        <f t="shared" si="90"/>
        <v>0</v>
      </c>
      <c r="O16" s="10">
        <f t="shared" si="90"/>
        <v>0</v>
      </c>
      <c r="P16" s="10">
        <f t="shared" si="90"/>
        <v>0</v>
      </c>
      <c r="Q16" s="10">
        <f t="shared" si="90"/>
        <v>0</v>
      </c>
      <c r="R16" s="10">
        <f t="shared" si="90"/>
        <v>0</v>
      </c>
      <c r="S16" s="10">
        <f t="shared" si="90"/>
        <v>0</v>
      </c>
      <c r="T16" s="10">
        <f t="shared" si="90"/>
        <v>0</v>
      </c>
      <c r="U16" s="10">
        <f t="shared" si="90"/>
        <v>0</v>
      </c>
      <c r="V16" s="10">
        <f t="shared" si="90"/>
        <v>0</v>
      </c>
      <c r="W16" s="10">
        <f t="shared" si="90"/>
        <v>0</v>
      </c>
      <c r="X16" s="10">
        <f t="shared" si="90"/>
        <v>0</v>
      </c>
      <c r="Y16" s="10">
        <f t="shared" si="90"/>
        <v>451.4</v>
      </c>
      <c r="Z16" s="10">
        <f t="shared" si="90"/>
        <v>0</v>
      </c>
      <c r="AA16" s="10">
        <f t="shared" si="90"/>
        <v>0</v>
      </c>
      <c r="AB16" s="10">
        <f t="shared" si="90"/>
        <v>0</v>
      </c>
      <c r="AC16" s="10">
        <f t="shared" ref="AC16" si="91">AC351</f>
        <v>0</v>
      </c>
      <c r="AD16" s="10">
        <f>AD351</f>
        <v>0</v>
      </c>
      <c r="AE16" s="10">
        <f>AE351</f>
        <v>528754</v>
      </c>
      <c r="AF16" s="10">
        <f t="shared" ref="AF16" si="92">AF351</f>
        <v>118606</v>
      </c>
      <c r="AG16" s="10">
        <f t="shared" ref="AG16" si="93">AG351</f>
        <v>0</v>
      </c>
      <c r="AH16" s="10">
        <f>AH351</f>
        <v>0</v>
      </c>
      <c r="AI16" s="10">
        <f>AI351</f>
        <v>-1612</v>
      </c>
      <c r="AJ16" s="10">
        <f t="shared" ref="AJ16" si="94">AJ351</f>
        <v>0</v>
      </c>
      <c r="AK16" s="10">
        <f t="shared" ref="AK16:AU16" si="95">AK351</f>
        <v>0</v>
      </c>
      <c r="AL16" s="10">
        <f t="shared" si="95"/>
        <v>0</v>
      </c>
      <c r="AM16" s="10">
        <f t="shared" si="95"/>
        <v>0</v>
      </c>
      <c r="AN16" s="10">
        <f t="shared" si="95"/>
        <v>0</v>
      </c>
      <c r="AO16" s="10">
        <f t="shared" si="95"/>
        <v>0</v>
      </c>
      <c r="AP16" s="10">
        <f t="shared" si="95"/>
        <v>0</v>
      </c>
      <c r="AQ16" s="10">
        <f t="shared" si="95"/>
        <v>0</v>
      </c>
      <c r="AR16" s="10">
        <f t="shared" si="95"/>
        <v>0</v>
      </c>
      <c r="AS16" s="10">
        <f t="shared" si="95"/>
        <v>0</v>
      </c>
      <c r="AT16" s="10">
        <f t="shared" si="95"/>
        <v>0</v>
      </c>
      <c r="AU16" s="10">
        <f t="shared" si="95"/>
        <v>0</v>
      </c>
      <c r="AV16" s="10">
        <f>AV351</f>
        <v>0</v>
      </c>
      <c r="AW16" s="10">
        <f>AW351</f>
        <v>0</v>
      </c>
      <c r="AX16" s="10">
        <f t="shared" si="88"/>
        <v>0</v>
      </c>
      <c r="AY16" s="10">
        <f t="shared" si="88"/>
        <v>0</v>
      </c>
      <c r="AZ16" s="10">
        <f t="shared" si="88"/>
        <v>0</v>
      </c>
      <c r="BA16" s="10">
        <f t="shared" si="88"/>
        <v>0</v>
      </c>
      <c r="BB16" s="10">
        <f t="shared" si="88"/>
        <v>0</v>
      </c>
      <c r="BC16" s="10">
        <f t="shared" si="88"/>
        <v>0</v>
      </c>
      <c r="BD16" s="10">
        <f t="shared" si="88"/>
        <v>0</v>
      </c>
      <c r="BE16" s="10">
        <f t="shared" si="88"/>
        <v>0</v>
      </c>
      <c r="BF16" s="10">
        <f>BF351</f>
        <v>0</v>
      </c>
    </row>
    <row r="17" spans="1:58" ht="14.1" customHeight="1">
      <c r="A17" s="412">
        <f t="shared" si="53"/>
        <v>11</v>
      </c>
      <c r="B17" s="89" t="s">
        <v>22</v>
      </c>
      <c r="C17" s="38">
        <f t="shared" si="75"/>
        <v>-6698454.9299999997</v>
      </c>
      <c r="D17" s="10">
        <f>D379</f>
        <v>0</v>
      </c>
      <c r="E17" s="10">
        <f>E379</f>
        <v>0</v>
      </c>
      <c r="F17" s="10">
        <f t="shared" ref="F17" si="96">F379</f>
        <v>0</v>
      </c>
      <c r="G17" s="10">
        <f t="shared" ref="G17" si="97">G379</f>
        <v>0</v>
      </c>
      <c r="H17" s="10">
        <f t="shared" ref="H17:BE17" si="98">H379</f>
        <v>0</v>
      </c>
      <c r="I17" s="10">
        <f>I379</f>
        <v>0</v>
      </c>
      <c r="J17" s="10">
        <f>J379</f>
        <v>0</v>
      </c>
      <c r="K17" s="10">
        <f>K379</f>
        <v>0</v>
      </c>
      <c r="L17" s="10">
        <f t="shared" ref="L17" si="99">L379</f>
        <v>0</v>
      </c>
      <c r="M17" s="10">
        <f t="shared" ref="M17:AB17" si="100">M379</f>
        <v>0</v>
      </c>
      <c r="N17" s="10">
        <f t="shared" si="100"/>
        <v>0</v>
      </c>
      <c r="O17" s="10">
        <f t="shared" si="100"/>
        <v>0</v>
      </c>
      <c r="P17" s="10">
        <f t="shared" si="100"/>
        <v>0</v>
      </c>
      <c r="Q17" s="10">
        <f t="shared" si="100"/>
        <v>0</v>
      </c>
      <c r="R17" s="10">
        <f t="shared" si="100"/>
        <v>0</v>
      </c>
      <c r="S17" s="10">
        <f t="shared" si="100"/>
        <v>0</v>
      </c>
      <c r="T17" s="10">
        <f t="shared" si="100"/>
        <v>595932</v>
      </c>
      <c r="U17" s="10">
        <f t="shared" si="100"/>
        <v>-346408</v>
      </c>
      <c r="V17" s="10">
        <f t="shared" si="100"/>
        <v>0</v>
      </c>
      <c r="W17" s="10">
        <f t="shared" si="100"/>
        <v>0</v>
      </c>
      <c r="X17" s="10">
        <f t="shared" si="100"/>
        <v>0</v>
      </c>
      <c r="Y17" s="10">
        <f t="shared" si="100"/>
        <v>-83730.929999999993</v>
      </c>
      <c r="Z17" s="10">
        <f t="shared" si="100"/>
        <v>0</v>
      </c>
      <c r="AA17" s="10">
        <f t="shared" si="100"/>
        <v>0</v>
      </c>
      <c r="AB17" s="10">
        <f t="shared" si="100"/>
        <v>0</v>
      </c>
      <c r="AC17" s="10">
        <f t="shared" ref="AC17" si="101">AC379</f>
        <v>0</v>
      </c>
      <c r="AD17" s="10">
        <f>AD379</f>
        <v>0</v>
      </c>
      <c r="AE17" s="10">
        <f>AE379</f>
        <v>0</v>
      </c>
      <c r="AF17" s="10">
        <f t="shared" ref="AF17" si="102">AF379</f>
        <v>0</v>
      </c>
      <c r="AG17" s="10">
        <f t="shared" ref="AG17" si="103">AG379</f>
        <v>0</v>
      </c>
      <c r="AH17" s="10">
        <f>AH379</f>
        <v>0</v>
      </c>
      <c r="AI17" s="10">
        <f>AI379</f>
        <v>-242560</v>
      </c>
      <c r="AJ17" s="10">
        <f t="shared" ref="AJ17" si="104">AJ379</f>
        <v>0</v>
      </c>
      <c r="AK17" s="10">
        <f t="shared" ref="AK17:AU17" si="105">AK379</f>
        <v>0</v>
      </c>
      <c r="AL17" s="10">
        <f t="shared" si="105"/>
        <v>0</v>
      </c>
      <c r="AM17" s="10">
        <f t="shared" si="105"/>
        <v>0</v>
      </c>
      <c r="AN17" s="10">
        <f t="shared" si="105"/>
        <v>0</v>
      </c>
      <c r="AO17" s="10">
        <f t="shared" si="105"/>
        <v>0</v>
      </c>
      <c r="AP17" s="10">
        <f t="shared" si="105"/>
        <v>0</v>
      </c>
      <c r="AQ17" s="10">
        <f t="shared" si="105"/>
        <v>0</v>
      </c>
      <c r="AR17" s="10">
        <f t="shared" si="105"/>
        <v>0</v>
      </c>
      <c r="AS17" s="10">
        <f t="shared" si="105"/>
        <v>0</v>
      </c>
      <c r="AT17" s="10">
        <f t="shared" si="105"/>
        <v>0</v>
      </c>
      <c r="AU17" s="10">
        <f t="shared" si="105"/>
        <v>0</v>
      </c>
      <c r="AV17" s="10">
        <f>AV379</f>
        <v>172594</v>
      </c>
      <c r="AW17" s="10">
        <f>AW379</f>
        <v>0</v>
      </c>
      <c r="AX17" s="10">
        <f t="shared" si="98"/>
        <v>0</v>
      </c>
      <c r="AY17" s="10">
        <f t="shared" si="98"/>
        <v>0</v>
      </c>
      <c r="AZ17" s="10">
        <f t="shared" si="98"/>
        <v>-6794282</v>
      </c>
      <c r="BA17" s="10">
        <f t="shared" si="98"/>
        <v>0</v>
      </c>
      <c r="BB17" s="10">
        <f t="shared" si="98"/>
        <v>0</v>
      </c>
      <c r="BC17" s="10">
        <f t="shared" si="98"/>
        <v>0</v>
      </c>
      <c r="BD17" s="10">
        <f t="shared" si="98"/>
        <v>0</v>
      </c>
      <c r="BE17" s="10">
        <f t="shared" si="98"/>
        <v>0</v>
      </c>
      <c r="BF17" s="10">
        <f>BF379</f>
        <v>0</v>
      </c>
    </row>
    <row r="18" spans="1:58" ht="14.1" customHeight="1">
      <c r="A18" s="412">
        <f t="shared" si="53"/>
        <v>12</v>
      </c>
      <c r="B18" s="89" t="s">
        <v>23</v>
      </c>
      <c r="C18" s="38">
        <f t="shared" si="75"/>
        <v>-35318.94</v>
      </c>
      <c r="D18" s="10">
        <f>D388</f>
        <v>0</v>
      </c>
      <c r="E18" s="10">
        <f>E388</f>
        <v>0</v>
      </c>
      <c r="F18" s="10">
        <f t="shared" ref="F18" si="106">F388</f>
        <v>0</v>
      </c>
      <c r="G18" s="10">
        <f t="shared" ref="G18" si="107">G388</f>
        <v>0</v>
      </c>
      <c r="H18" s="10">
        <f t="shared" ref="H18:BE18" si="108">H388</f>
        <v>0</v>
      </c>
      <c r="I18" s="10">
        <f>I388</f>
        <v>0</v>
      </c>
      <c r="J18" s="10">
        <f>J388</f>
        <v>0</v>
      </c>
      <c r="K18" s="10">
        <f>K388</f>
        <v>0</v>
      </c>
      <c r="L18" s="10">
        <f t="shared" ref="L18" si="109">L388</f>
        <v>0</v>
      </c>
      <c r="M18" s="10">
        <f t="shared" ref="M18:AB18" si="110">M388</f>
        <v>0</v>
      </c>
      <c r="N18" s="10">
        <f t="shared" si="110"/>
        <v>0</v>
      </c>
      <c r="O18" s="10">
        <f t="shared" si="110"/>
        <v>0</v>
      </c>
      <c r="P18" s="10">
        <f t="shared" si="110"/>
        <v>0</v>
      </c>
      <c r="Q18" s="10">
        <f t="shared" si="110"/>
        <v>0</v>
      </c>
      <c r="R18" s="10">
        <f t="shared" si="110"/>
        <v>0</v>
      </c>
      <c r="S18" s="10">
        <f t="shared" si="110"/>
        <v>0</v>
      </c>
      <c r="T18" s="10">
        <f t="shared" si="110"/>
        <v>0</v>
      </c>
      <c r="U18" s="10">
        <f t="shared" si="110"/>
        <v>0</v>
      </c>
      <c r="V18" s="10">
        <f t="shared" si="110"/>
        <v>0</v>
      </c>
      <c r="W18" s="10">
        <f t="shared" si="110"/>
        <v>0</v>
      </c>
      <c r="X18" s="10">
        <f t="shared" si="110"/>
        <v>0</v>
      </c>
      <c r="Y18" s="10">
        <f t="shared" si="110"/>
        <v>3126.0600000000004</v>
      </c>
      <c r="Z18" s="10">
        <f t="shared" si="110"/>
        <v>0</v>
      </c>
      <c r="AA18" s="10">
        <f t="shared" si="110"/>
        <v>0</v>
      </c>
      <c r="AB18" s="10">
        <f t="shared" si="110"/>
        <v>0</v>
      </c>
      <c r="AC18" s="10">
        <f t="shared" ref="AC18" si="111">AC388</f>
        <v>0</v>
      </c>
      <c r="AD18" s="10">
        <f>AD388</f>
        <v>0</v>
      </c>
      <c r="AE18" s="10">
        <f>AE388</f>
        <v>0</v>
      </c>
      <c r="AF18" s="10">
        <f t="shared" ref="AF18" si="112">AF388</f>
        <v>0</v>
      </c>
      <c r="AG18" s="10">
        <f t="shared" ref="AG18" si="113">AG388</f>
        <v>0</v>
      </c>
      <c r="AH18" s="10">
        <f>AH388</f>
        <v>0</v>
      </c>
      <c r="AI18" s="10">
        <f>AI388</f>
        <v>-38445</v>
      </c>
      <c r="AJ18" s="10">
        <f t="shared" ref="AJ18" si="114">AJ388</f>
        <v>0</v>
      </c>
      <c r="AK18" s="10">
        <f t="shared" ref="AK18:AU18" si="115">AK388</f>
        <v>0</v>
      </c>
      <c r="AL18" s="10">
        <f t="shared" si="115"/>
        <v>0</v>
      </c>
      <c r="AM18" s="10">
        <f t="shared" si="115"/>
        <v>0</v>
      </c>
      <c r="AN18" s="10">
        <f t="shared" si="115"/>
        <v>0</v>
      </c>
      <c r="AO18" s="10">
        <f t="shared" si="115"/>
        <v>0</v>
      </c>
      <c r="AP18" s="10">
        <f t="shared" si="115"/>
        <v>0</v>
      </c>
      <c r="AQ18" s="10">
        <f t="shared" si="115"/>
        <v>0</v>
      </c>
      <c r="AR18" s="10">
        <f t="shared" si="115"/>
        <v>0</v>
      </c>
      <c r="AS18" s="10">
        <f t="shared" si="115"/>
        <v>0</v>
      </c>
      <c r="AT18" s="10">
        <f t="shared" si="115"/>
        <v>0</v>
      </c>
      <c r="AU18" s="10">
        <f t="shared" si="115"/>
        <v>0</v>
      </c>
      <c r="AV18" s="10">
        <f>AV388</f>
        <v>0</v>
      </c>
      <c r="AW18" s="10">
        <f>AW388</f>
        <v>0</v>
      </c>
      <c r="AX18" s="10">
        <f t="shared" si="108"/>
        <v>0</v>
      </c>
      <c r="AY18" s="10">
        <f t="shared" si="108"/>
        <v>0</v>
      </c>
      <c r="AZ18" s="10">
        <f t="shared" si="108"/>
        <v>0</v>
      </c>
      <c r="BA18" s="10">
        <f t="shared" si="108"/>
        <v>0</v>
      </c>
      <c r="BB18" s="10">
        <f t="shared" si="108"/>
        <v>0</v>
      </c>
      <c r="BC18" s="10">
        <f t="shared" si="108"/>
        <v>0</v>
      </c>
      <c r="BD18" s="10">
        <f t="shared" si="108"/>
        <v>0</v>
      </c>
      <c r="BE18" s="10">
        <f t="shared" si="108"/>
        <v>0</v>
      </c>
      <c r="BF18" s="10">
        <f>BF388</f>
        <v>0</v>
      </c>
    </row>
    <row r="19" spans="1:58" ht="14.1" customHeight="1">
      <c r="A19" s="412">
        <f t="shared" si="53"/>
        <v>13</v>
      </c>
      <c r="B19" s="89" t="s">
        <v>24</v>
      </c>
      <c r="C19" s="38">
        <f t="shared" si="75"/>
        <v>-29845.35</v>
      </c>
      <c r="D19" s="10">
        <f>D402</f>
        <v>0</v>
      </c>
      <c r="E19" s="10">
        <f>E402</f>
        <v>0</v>
      </c>
      <c r="F19" s="10">
        <f t="shared" ref="F19" si="116">F402</f>
        <v>0</v>
      </c>
      <c r="G19" s="10">
        <f t="shared" ref="G19" si="117">G402</f>
        <v>0</v>
      </c>
      <c r="H19" s="10">
        <f t="shared" ref="H19:BE19" si="118">H402</f>
        <v>0</v>
      </c>
      <c r="I19" s="10">
        <f>I402</f>
        <v>0</v>
      </c>
      <c r="J19" s="10">
        <f>J402</f>
        <v>0</v>
      </c>
      <c r="K19" s="10">
        <f>K402</f>
        <v>0</v>
      </c>
      <c r="L19" s="10">
        <f t="shared" ref="L19" si="119">L402</f>
        <v>0</v>
      </c>
      <c r="M19" s="10">
        <f t="shared" ref="M19:AB19" si="120">M402</f>
        <v>0</v>
      </c>
      <c r="N19" s="10">
        <f t="shared" si="120"/>
        <v>0</v>
      </c>
      <c r="O19" s="10">
        <f t="shared" si="120"/>
        <v>0</v>
      </c>
      <c r="P19" s="10">
        <f t="shared" si="120"/>
        <v>0</v>
      </c>
      <c r="Q19" s="10">
        <f t="shared" si="120"/>
        <v>0</v>
      </c>
      <c r="R19" s="10">
        <f t="shared" si="120"/>
        <v>0</v>
      </c>
      <c r="S19" s="10">
        <f t="shared" si="120"/>
        <v>0</v>
      </c>
      <c r="T19" s="10">
        <f t="shared" si="120"/>
        <v>0</v>
      </c>
      <c r="U19" s="10">
        <f t="shared" si="120"/>
        <v>0</v>
      </c>
      <c r="V19" s="10">
        <f t="shared" si="120"/>
        <v>0</v>
      </c>
      <c r="W19" s="10">
        <f t="shared" si="120"/>
        <v>0</v>
      </c>
      <c r="X19" s="10">
        <f t="shared" si="120"/>
        <v>-29845.35</v>
      </c>
      <c r="Y19" s="10">
        <f t="shared" si="120"/>
        <v>0</v>
      </c>
      <c r="Z19" s="10">
        <f t="shared" si="120"/>
        <v>0</v>
      </c>
      <c r="AA19" s="10">
        <f t="shared" si="120"/>
        <v>0</v>
      </c>
      <c r="AB19" s="10">
        <f t="shared" si="120"/>
        <v>0</v>
      </c>
      <c r="AC19" s="10">
        <f t="shared" ref="AC19" si="121">AC402</f>
        <v>0</v>
      </c>
      <c r="AD19" s="10">
        <f>AD402</f>
        <v>0</v>
      </c>
      <c r="AE19" s="10">
        <f>AE402</f>
        <v>0</v>
      </c>
      <c r="AF19" s="10">
        <f t="shared" ref="AF19" si="122">AF402</f>
        <v>0</v>
      </c>
      <c r="AG19" s="10">
        <f t="shared" ref="AG19" si="123">AG402</f>
        <v>0</v>
      </c>
      <c r="AH19" s="10">
        <f>AH402</f>
        <v>0</v>
      </c>
      <c r="AI19" s="10">
        <f>AI402</f>
        <v>0</v>
      </c>
      <c r="AJ19" s="10">
        <f t="shared" ref="AJ19" si="124">AJ402</f>
        <v>0</v>
      </c>
      <c r="AK19" s="10">
        <f t="shared" ref="AK19:AU19" si="125">AK402</f>
        <v>0</v>
      </c>
      <c r="AL19" s="10">
        <f t="shared" si="125"/>
        <v>0</v>
      </c>
      <c r="AM19" s="10">
        <f t="shared" si="125"/>
        <v>0</v>
      </c>
      <c r="AN19" s="10">
        <f t="shared" si="125"/>
        <v>0</v>
      </c>
      <c r="AO19" s="10">
        <f t="shared" si="125"/>
        <v>0</v>
      </c>
      <c r="AP19" s="10">
        <f t="shared" si="125"/>
        <v>0</v>
      </c>
      <c r="AQ19" s="10">
        <f t="shared" si="125"/>
        <v>0</v>
      </c>
      <c r="AR19" s="10">
        <f t="shared" si="125"/>
        <v>0</v>
      </c>
      <c r="AS19" s="10">
        <f t="shared" si="125"/>
        <v>0</v>
      </c>
      <c r="AT19" s="10">
        <f t="shared" si="125"/>
        <v>0</v>
      </c>
      <c r="AU19" s="10">
        <f t="shared" si="125"/>
        <v>0</v>
      </c>
      <c r="AV19" s="10">
        <f>AV402</f>
        <v>0</v>
      </c>
      <c r="AW19" s="10">
        <f>AW402</f>
        <v>0</v>
      </c>
      <c r="AX19" s="10">
        <f t="shared" si="118"/>
        <v>0</v>
      </c>
      <c r="AY19" s="10">
        <f t="shared" si="118"/>
        <v>0</v>
      </c>
      <c r="AZ19" s="10">
        <f t="shared" si="118"/>
        <v>0</v>
      </c>
      <c r="BA19" s="10">
        <f t="shared" si="118"/>
        <v>0</v>
      </c>
      <c r="BB19" s="10">
        <f t="shared" si="118"/>
        <v>0</v>
      </c>
      <c r="BC19" s="10">
        <f t="shared" si="118"/>
        <v>0</v>
      </c>
      <c r="BD19" s="10">
        <f t="shared" si="118"/>
        <v>0</v>
      </c>
      <c r="BE19" s="10">
        <f t="shared" si="118"/>
        <v>0</v>
      </c>
      <c r="BF19" s="10">
        <f>BF402</f>
        <v>0</v>
      </c>
    </row>
    <row r="20" spans="1:58" ht="14.1" customHeight="1">
      <c r="A20" s="412">
        <f t="shared" si="53"/>
        <v>14</v>
      </c>
      <c r="B20" s="89" t="s">
        <v>25</v>
      </c>
      <c r="C20" s="38">
        <f t="shared" si="75"/>
        <v>-7670239.3399999999</v>
      </c>
      <c r="D20" s="10">
        <f>D395</f>
        <v>0</v>
      </c>
      <c r="E20" s="10">
        <f>E395</f>
        <v>0</v>
      </c>
      <c r="F20" s="10">
        <f t="shared" ref="F20" si="126">F395</f>
        <v>0</v>
      </c>
      <c r="G20" s="10">
        <f t="shared" ref="G20" si="127">G395</f>
        <v>0</v>
      </c>
      <c r="H20" s="10">
        <f t="shared" ref="H20:BE20" si="128">H395</f>
        <v>0</v>
      </c>
      <c r="I20" s="10">
        <f>I395</f>
        <v>0</v>
      </c>
      <c r="J20" s="10">
        <f>J395</f>
        <v>0</v>
      </c>
      <c r="K20" s="10">
        <f>K395</f>
        <v>0</v>
      </c>
      <c r="L20" s="10">
        <f t="shared" ref="L20" si="129">L395</f>
        <v>0</v>
      </c>
      <c r="M20" s="10">
        <f t="shared" ref="M20:AB20" si="130">M395</f>
        <v>-7060189</v>
      </c>
      <c r="N20" s="10">
        <f t="shared" si="130"/>
        <v>-246772</v>
      </c>
      <c r="O20" s="10">
        <f t="shared" si="130"/>
        <v>-303011</v>
      </c>
      <c r="P20" s="10">
        <f t="shared" si="130"/>
        <v>0</v>
      </c>
      <c r="Q20" s="10">
        <f t="shared" si="130"/>
        <v>0</v>
      </c>
      <c r="R20" s="10">
        <f t="shared" si="130"/>
        <v>0</v>
      </c>
      <c r="S20" s="10">
        <f t="shared" si="130"/>
        <v>0</v>
      </c>
      <c r="T20" s="10">
        <f t="shared" si="130"/>
        <v>0</v>
      </c>
      <c r="U20" s="10">
        <f t="shared" si="130"/>
        <v>0</v>
      </c>
      <c r="V20" s="10">
        <f t="shared" si="130"/>
        <v>0</v>
      </c>
      <c r="W20" s="10">
        <f t="shared" si="130"/>
        <v>0</v>
      </c>
      <c r="X20" s="10">
        <f t="shared" si="130"/>
        <v>-38709.97</v>
      </c>
      <c r="Y20" s="10">
        <f t="shared" si="130"/>
        <v>-2075.37</v>
      </c>
      <c r="Z20" s="10">
        <f t="shared" si="130"/>
        <v>0</v>
      </c>
      <c r="AA20" s="10">
        <f t="shared" si="130"/>
        <v>0</v>
      </c>
      <c r="AB20" s="10">
        <f t="shared" si="130"/>
        <v>0</v>
      </c>
      <c r="AC20" s="10">
        <f t="shared" ref="AC20" si="131">AC395</f>
        <v>0</v>
      </c>
      <c r="AD20" s="10">
        <f>AD395</f>
        <v>0</v>
      </c>
      <c r="AE20" s="10">
        <f>AE395</f>
        <v>0</v>
      </c>
      <c r="AF20" s="10">
        <f t="shared" ref="AF20" si="132">AF395</f>
        <v>0</v>
      </c>
      <c r="AG20" s="10">
        <f t="shared" ref="AG20" si="133">AG395</f>
        <v>0</v>
      </c>
      <c r="AH20" s="10">
        <f>AH395</f>
        <v>0</v>
      </c>
      <c r="AI20" s="10">
        <f>AI395</f>
        <v>-18267</v>
      </c>
      <c r="AJ20" s="10">
        <f t="shared" ref="AJ20" si="134">AJ395</f>
        <v>-1215</v>
      </c>
      <c r="AK20" s="10">
        <f t="shared" ref="AK20:AU20" si="135">AK395</f>
        <v>0</v>
      </c>
      <c r="AL20" s="10">
        <f t="shared" si="135"/>
        <v>0</v>
      </c>
      <c r="AM20" s="10">
        <f t="shared" si="135"/>
        <v>0</v>
      </c>
      <c r="AN20" s="10">
        <f t="shared" si="135"/>
        <v>0</v>
      </c>
      <c r="AO20" s="10">
        <f t="shared" si="135"/>
        <v>0</v>
      </c>
      <c r="AP20" s="10">
        <f t="shared" si="135"/>
        <v>0</v>
      </c>
      <c r="AQ20" s="10">
        <f t="shared" si="135"/>
        <v>0</v>
      </c>
      <c r="AR20" s="10">
        <f t="shared" si="135"/>
        <v>0</v>
      </c>
      <c r="AS20" s="10">
        <f t="shared" si="135"/>
        <v>0</v>
      </c>
      <c r="AT20" s="10">
        <f t="shared" si="135"/>
        <v>0</v>
      </c>
      <c r="AU20" s="10">
        <f t="shared" si="135"/>
        <v>0</v>
      </c>
      <c r="AV20" s="10">
        <f>AV395</f>
        <v>0</v>
      </c>
      <c r="AW20" s="10">
        <f>AW395</f>
        <v>0</v>
      </c>
      <c r="AX20" s="10">
        <f t="shared" si="128"/>
        <v>0</v>
      </c>
      <c r="AY20" s="10">
        <f t="shared" si="128"/>
        <v>0</v>
      </c>
      <c r="AZ20" s="10">
        <f t="shared" si="128"/>
        <v>0</v>
      </c>
      <c r="BA20" s="10">
        <f t="shared" si="128"/>
        <v>0</v>
      </c>
      <c r="BB20" s="10">
        <f t="shared" si="128"/>
        <v>0</v>
      </c>
      <c r="BC20" s="10">
        <f t="shared" si="128"/>
        <v>0</v>
      </c>
      <c r="BD20" s="10">
        <f t="shared" si="128"/>
        <v>0</v>
      </c>
      <c r="BE20" s="10">
        <f t="shared" si="128"/>
        <v>0</v>
      </c>
      <c r="BF20" s="10">
        <f>BF395</f>
        <v>0</v>
      </c>
    </row>
    <row r="21" spans="1:58" ht="14.1" customHeight="1">
      <c r="A21" s="412">
        <f t="shared" si="53"/>
        <v>15</v>
      </c>
      <c r="B21" s="89" t="s">
        <v>26</v>
      </c>
      <c r="C21" s="38">
        <f t="shared" si="75"/>
        <v>-2302686.46</v>
      </c>
      <c r="D21" s="10">
        <f>D423</f>
        <v>0</v>
      </c>
      <c r="E21" s="10">
        <f>E423</f>
        <v>0</v>
      </c>
      <c r="F21" s="10">
        <f t="shared" ref="F21" si="136">F423</f>
        <v>0</v>
      </c>
      <c r="G21" s="10">
        <f t="shared" ref="G21" si="137">G423</f>
        <v>0</v>
      </c>
      <c r="H21" s="10">
        <f t="shared" ref="H21:BE21" si="138">H423</f>
        <v>0</v>
      </c>
      <c r="I21" s="10">
        <f>I423</f>
        <v>0</v>
      </c>
      <c r="J21" s="10">
        <f>J423</f>
        <v>0</v>
      </c>
      <c r="K21" s="10">
        <f>K423</f>
        <v>0</v>
      </c>
      <c r="L21" s="10">
        <f t="shared" ref="L21" si="139">L423</f>
        <v>0</v>
      </c>
      <c r="M21" s="10">
        <f t="shared" ref="M21:AB21" si="140">M423</f>
        <v>0</v>
      </c>
      <c r="N21" s="10">
        <f t="shared" si="140"/>
        <v>0</v>
      </c>
      <c r="O21" s="10">
        <f t="shared" si="140"/>
        <v>0</v>
      </c>
      <c r="P21" s="10">
        <f t="shared" si="140"/>
        <v>0</v>
      </c>
      <c r="Q21" s="10">
        <f t="shared" si="140"/>
        <v>0</v>
      </c>
      <c r="R21" s="10">
        <f t="shared" si="140"/>
        <v>0</v>
      </c>
      <c r="S21" s="10">
        <f t="shared" si="140"/>
        <v>0</v>
      </c>
      <c r="T21" s="10">
        <f t="shared" si="140"/>
        <v>0</v>
      </c>
      <c r="U21" s="10">
        <f t="shared" si="140"/>
        <v>0</v>
      </c>
      <c r="V21" s="10">
        <f t="shared" si="140"/>
        <v>376599</v>
      </c>
      <c r="W21" s="10">
        <f t="shared" si="140"/>
        <v>-6656</v>
      </c>
      <c r="X21" s="10">
        <f t="shared" si="140"/>
        <v>-31889</v>
      </c>
      <c r="Y21" s="10">
        <f t="shared" si="140"/>
        <v>31204.649999999998</v>
      </c>
      <c r="Z21" s="10">
        <f t="shared" si="140"/>
        <v>148679</v>
      </c>
      <c r="AA21" s="10">
        <f t="shared" si="140"/>
        <v>429241</v>
      </c>
      <c r="AB21" s="10">
        <f t="shared" si="140"/>
        <v>0</v>
      </c>
      <c r="AC21" s="10">
        <f t="shared" ref="AC21" si="141">AC423</f>
        <v>0</v>
      </c>
      <c r="AD21" s="10">
        <f>AD423</f>
        <v>0</v>
      </c>
      <c r="AE21" s="10">
        <f>AE423</f>
        <v>0</v>
      </c>
      <c r="AF21" s="10">
        <f t="shared" ref="AF21" si="142">AF423</f>
        <v>0</v>
      </c>
      <c r="AG21" s="10">
        <f t="shared" ref="AG21" si="143">AG423</f>
        <v>0</v>
      </c>
      <c r="AH21" s="10">
        <f>AH423</f>
        <v>0</v>
      </c>
      <c r="AI21" s="10">
        <f>AI423</f>
        <v>-3236185</v>
      </c>
      <c r="AJ21" s="10">
        <f t="shared" ref="AJ21" si="144">AJ423</f>
        <v>-13680.11</v>
      </c>
      <c r="AK21" s="10">
        <f t="shared" ref="AK21:AU21" si="145">AK423</f>
        <v>0</v>
      </c>
      <c r="AL21" s="10">
        <f t="shared" si="145"/>
        <v>0</v>
      </c>
      <c r="AM21" s="10">
        <f t="shared" si="145"/>
        <v>0</v>
      </c>
      <c r="AN21" s="10">
        <f t="shared" si="145"/>
        <v>0</v>
      </c>
      <c r="AO21" s="10">
        <f t="shared" si="145"/>
        <v>0</v>
      </c>
      <c r="AP21" s="10">
        <f t="shared" si="145"/>
        <v>0</v>
      </c>
      <c r="AQ21" s="10">
        <f t="shared" si="145"/>
        <v>0</v>
      </c>
      <c r="AR21" s="10">
        <f t="shared" si="145"/>
        <v>0</v>
      </c>
      <c r="AS21" s="10">
        <f t="shared" si="145"/>
        <v>0</v>
      </c>
      <c r="AT21" s="10">
        <f t="shared" si="145"/>
        <v>0</v>
      </c>
      <c r="AU21" s="10">
        <f t="shared" si="145"/>
        <v>0</v>
      </c>
      <c r="AV21" s="10">
        <f>AV423</f>
        <v>0</v>
      </c>
      <c r="AW21" s="10">
        <f>AW423</f>
        <v>0</v>
      </c>
      <c r="AX21" s="10">
        <f t="shared" si="138"/>
        <v>0</v>
      </c>
      <c r="AY21" s="10">
        <f t="shared" si="138"/>
        <v>0</v>
      </c>
      <c r="AZ21" s="10">
        <f t="shared" si="138"/>
        <v>0</v>
      </c>
      <c r="BA21" s="10">
        <f t="shared" si="138"/>
        <v>0</v>
      </c>
      <c r="BB21" s="10">
        <f t="shared" si="138"/>
        <v>0</v>
      </c>
      <c r="BC21" s="10">
        <f t="shared" si="138"/>
        <v>0</v>
      </c>
      <c r="BD21" s="10">
        <f t="shared" si="138"/>
        <v>0</v>
      </c>
      <c r="BE21" s="10">
        <f t="shared" si="138"/>
        <v>0</v>
      </c>
      <c r="BF21" s="10">
        <f>BF423</f>
        <v>0</v>
      </c>
    </row>
    <row r="22" spans="1:58" ht="14.1" customHeight="1">
      <c r="A22" s="412">
        <f t="shared" si="53"/>
        <v>16</v>
      </c>
      <c r="B22" s="56" t="s">
        <v>27</v>
      </c>
      <c r="C22" s="212">
        <f t="shared" si="75"/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0</v>
      </c>
      <c r="AN22" s="64">
        <v>0</v>
      </c>
      <c r="AO22" s="64">
        <v>0</v>
      </c>
      <c r="AP22" s="64">
        <v>0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v>0</v>
      </c>
      <c r="AX22" s="64">
        <v>0</v>
      </c>
      <c r="AY22" s="64">
        <v>0</v>
      </c>
      <c r="AZ22" s="64">
        <v>0</v>
      </c>
      <c r="BA22" s="64">
        <v>0</v>
      </c>
      <c r="BB22" s="64">
        <v>0</v>
      </c>
      <c r="BC22" s="64">
        <v>0</v>
      </c>
      <c r="BD22" s="64">
        <v>0</v>
      </c>
      <c r="BE22" s="64">
        <v>0</v>
      </c>
      <c r="BF22" s="64">
        <v>0</v>
      </c>
    </row>
    <row r="23" spans="1:58" s="18" customFormat="1" ht="14.1" customHeight="1">
      <c r="A23" s="412">
        <f t="shared" si="53"/>
        <v>17</v>
      </c>
      <c r="B23" s="2" t="s">
        <v>28</v>
      </c>
      <c r="C23" s="16">
        <f>SUM(C15:C22)</f>
        <v>-31219422.620000005</v>
      </c>
      <c r="D23" s="16">
        <f>SUM(D15:D22)</f>
        <v>0</v>
      </c>
      <c r="E23" s="16">
        <f>SUM(E15:E22)</f>
        <v>53</v>
      </c>
      <c r="F23" s="16">
        <f t="shared" ref="F23" si="146">SUM(F15:F22)</f>
        <v>-3927716</v>
      </c>
      <c r="G23" s="16">
        <f t="shared" ref="G23" si="147">SUM(G15:G22)</f>
        <v>0</v>
      </c>
      <c r="H23" s="16">
        <f t="shared" ref="H23:BE23" si="148">SUM(H15:H22)</f>
        <v>-667402.98</v>
      </c>
      <c r="I23" s="16">
        <f>SUM(I15:I22)</f>
        <v>-5023081</v>
      </c>
      <c r="J23" s="16">
        <f>SUM(J15:J22)</f>
        <v>2211941.64</v>
      </c>
      <c r="K23" s="16">
        <f>SUM(K15:K22)</f>
        <v>173874.68</v>
      </c>
      <c r="L23" s="16">
        <f t="shared" ref="L23" si="149">SUM(L15:L22)</f>
        <v>372542</v>
      </c>
      <c r="M23" s="16">
        <f t="shared" ref="M23:AB23" si="150">SUM(M15:M22)</f>
        <v>-7060189</v>
      </c>
      <c r="N23" s="16">
        <f t="shared" si="150"/>
        <v>-246772</v>
      </c>
      <c r="O23" s="16">
        <f t="shared" si="150"/>
        <v>-303011</v>
      </c>
      <c r="P23" s="16">
        <f t="shared" si="150"/>
        <v>0</v>
      </c>
      <c r="Q23" s="16">
        <f t="shared" si="150"/>
        <v>-1931642</v>
      </c>
      <c r="R23" s="16">
        <f t="shared" si="150"/>
        <v>5871000</v>
      </c>
      <c r="S23" s="16">
        <f t="shared" si="150"/>
        <v>0</v>
      </c>
      <c r="T23" s="16">
        <f t="shared" si="150"/>
        <v>595932</v>
      </c>
      <c r="U23" s="16">
        <f t="shared" si="150"/>
        <v>-346408</v>
      </c>
      <c r="V23" s="16">
        <f t="shared" si="150"/>
        <v>376599</v>
      </c>
      <c r="W23" s="16">
        <f t="shared" si="150"/>
        <v>-6656</v>
      </c>
      <c r="X23" s="16">
        <f t="shared" si="150"/>
        <v>-100444.32</v>
      </c>
      <c r="Y23" s="16">
        <f t="shared" si="150"/>
        <v>-40145.97</v>
      </c>
      <c r="Z23" s="16">
        <f t="shared" si="150"/>
        <v>148679</v>
      </c>
      <c r="AA23" s="16">
        <f t="shared" si="150"/>
        <v>429241</v>
      </c>
      <c r="AB23" s="16">
        <f t="shared" si="150"/>
        <v>-848165</v>
      </c>
      <c r="AC23" s="16">
        <f t="shared" ref="AC23" si="151">SUM(AC15:AC22)</f>
        <v>-11501584</v>
      </c>
      <c r="AD23" s="16">
        <f>SUM(AD15:AD22)</f>
        <v>882204</v>
      </c>
      <c r="AE23" s="16">
        <f>SUM(AE15:AE22)</f>
        <v>528754</v>
      </c>
      <c r="AF23" s="16">
        <f t="shared" ref="AF23" si="152">SUM(AF15:AF22)</f>
        <v>118606</v>
      </c>
      <c r="AG23" s="16">
        <f t="shared" ref="AG23" si="153">SUM(AG15:AG22)</f>
        <v>0</v>
      </c>
      <c r="AH23" s="16">
        <f>SUM(AH15:AH22)</f>
        <v>-35433</v>
      </c>
      <c r="AI23" s="16">
        <f>SUM(AI15:AI22)</f>
        <v>-3979263</v>
      </c>
      <c r="AJ23" s="16">
        <f t="shared" ref="AJ23" si="154">SUM(AJ15:AJ22)</f>
        <v>-14913.67</v>
      </c>
      <c r="AK23" s="16">
        <f t="shared" ref="AK23:AU23" si="155">SUM(AK15:AK22)</f>
        <v>-274334</v>
      </c>
      <c r="AL23" s="16">
        <f t="shared" si="155"/>
        <v>0</v>
      </c>
      <c r="AM23" s="16">
        <f t="shared" si="155"/>
        <v>0</v>
      </c>
      <c r="AN23" s="16">
        <f t="shared" si="155"/>
        <v>0</v>
      </c>
      <c r="AO23" s="16">
        <f t="shared" si="155"/>
        <v>0</v>
      </c>
      <c r="AP23" s="16">
        <f t="shared" si="155"/>
        <v>0</v>
      </c>
      <c r="AQ23" s="16">
        <f t="shared" si="155"/>
        <v>0</v>
      </c>
      <c r="AR23" s="16">
        <f t="shared" si="155"/>
        <v>0</v>
      </c>
      <c r="AS23" s="16">
        <f t="shared" si="155"/>
        <v>0</v>
      </c>
      <c r="AT23" s="16">
        <f t="shared" si="155"/>
        <v>0</v>
      </c>
      <c r="AU23" s="16">
        <f t="shared" si="155"/>
        <v>0</v>
      </c>
      <c r="AV23" s="16">
        <f>SUM(AV15:AV22)</f>
        <v>172594</v>
      </c>
      <c r="AW23" s="16">
        <f>SUM(AW15:AW22)</f>
        <v>0</v>
      </c>
      <c r="AX23" s="16">
        <f t="shared" si="148"/>
        <v>0</v>
      </c>
      <c r="AY23" s="16">
        <f t="shared" si="148"/>
        <v>0</v>
      </c>
      <c r="AZ23" s="16">
        <f t="shared" si="148"/>
        <v>-6794282</v>
      </c>
      <c r="BA23" s="16">
        <f t="shared" si="148"/>
        <v>0</v>
      </c>
      <c r="BB23" s="16">
        <f t="shared" si="148"/>
        <v>0</v>
      </c>
      <c r="BC23" s="16">
        <f t="shared" si="148"/>
        <v>0</v>
      </c>
      <c r="BD23" s="16">
        <f t="shared" si="148"/>
        <v>0</v>
      </c>
      <c r="BE23" s="16">
        <f t="shared" si="148"/>
        <v>0</v>
      </c>
      <c r="BF23" s="16">
        <f>SUM(BF15:BF22)</f>
        <v>0</v>
      </c>
    </row>
    <row r="24" spans="1:58" s="18" customFormat="1" ht="14.1" customHeight="1">
      <c r="A24" s="412">
        <f t="shared" si="53"/>
        <v>18</v>
      </c>
      <c r="B24" s="6"/>
      <c r="C24" s="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</row>
    <row r="25" spans="1:58" ht="14.1" customHeight="1">
      <c r="A25" s="412">
        <f t="shared" si="53"/>
        <v>19</v>
      </c>
      <c r="B25" s="89" t="s">
        <v>29</v>
      </c>
      <c r="C25" s="38">
        <f>SUM(D25:BF25)</f>
        <v>-9445537.8200000003</v>
      </c>
      <c r="D25" s="10">
        <f>D456</f>
        <v>0</v>
      </c>
      <c r="E25" s="10">
        <f>E456</f>
        <v>-1987451</v>
      </c>
      <c r="F25" s="10">
        <f t="shared" ref="F25" si="156">F456</f>
        <v>-9192378</v>
      </c>
      <c r="G25" s="10">
        <f t="shared" ref="G25" si="157">G456</f>
        <v>0</v>
      </c>
      <c r="H25" s="10">
        <f t="shared" ref="H25:BE25" si="158">H456</f>
        <v>42028.18</v>
      </c>
      <c r="I25" s="10">
        <f>I456</f>
        <v>347890</v>
      </c>
      <c r="J25" s="10">
        <f>J456</f>
        <v>0</v>
      </c>
      <c r="K25" s="10">
        <f>K456</f>
        <v>0</v>
      </c>
      <c r="L25" s="10">
        <f t="shared" ref="L25" si="159">L456</f>
        <v>0</v>
      </c>
      <c r="M25" s="10">
        <f t="shared" ref="M25:AB25" si="160">M456</f>
        <v>0</v>
      </c>
      <c r="N25" s="10">
        <f t="shared" si="160"/>
        <v>0</v>
      </c>
      <c r="O25" s="10">
        <f t="shared" si="160"/>
        <v>0</v>
      </c>
      <c r="P25" s="10">
        <f t="shared" si="160"/>
        <v>0</v>
      </c>
      <c r="Q25" s="10">
        <f t="shared" si="160"/>
        <v>0</v>
      </c>
      <c r="R25" s="10">
        <f t="shared" si="160"/>
        <v>0</v>
      </c>
      <c r="S25" s="10">
        <f t="shared" si="160"/>
        <v>0</v>
      </c>
      <c r="T25" s="10">
        <f t="shared" si="160"/>
        <v>0</v>
      </c>
      <c r="U25" s="10">
        <f t="shared" si="160"/>
        <v>0</v>
      </c>
      <c r="V25" s="10">
        <f t="shared" si="160"/>
        <v>0</v>
      </c>
      <c r="W25" s="10">
        <f t="shared" si="160"/>
        <v>0</v>
      </c>
      <c r="X25" s="10">
        <f t="shared" si="160"/>
        <v>0</v>
      </c>
      <c r="Y25" s="10">
        <f t="shared" si="160"/>
        <v>0</v>
      </c>
      <c r="Z25" s="10">
        <f t="shared" si="160"/>
        <v>0</v>
      </c>
      <c r="AA25" s="10">
        <f t="shared" si="160"/>
        <v>0</v>
      </c>
      <c r="AB25" s="10">
        <f t="shared" si="160"/>
        <v>0</v>
      </c>
      <c r="AC25" s="10">
        <f t="shared" ref="AC25" si="161">AC456</f>
        <v>0</v>
      </c>
      <c r="AD25" s="10">
        <f>AD456</f>
        <v>0</v>
      </c>
      <c r="AE25" s="10">
        <f>AE456</f>
        <v>0</v>
      </c>
      <c r="AF25" s="10">
        <f t="shared" ref="AF25" si="162">AF456</f>
        <v>0</v>
      </c>
      <c r="AG25" s="10">
        <f t="shared" ref="AG25" si="163">AG456</f>
        <v>14275</v>
      </c>
      <c r="AH25" s="10">
        <f>AH456</f>
        <v>0</v>
      </c>
      <c r="AI25" s="10">
        <f>AI456</f>
        <v>0</v>
      </c>
      <c r="AJ25" s="10">
        <f t="shared" ref="AJ25" si="164">AJ456</f>
        <v>0</v>
      </c>
      <c r="AK25" s="10">
        <f t="shared" ref="AK25:AU25" si="165">AK456</f>
        <v>0</v>
      </c>
      <c r="AL25" s="10">
        <f t="shared" si="165"/>
        <v>2037359</v>
      </c>
      <c r="AM25" s="10">
        <f t="shared" si="165"/>
        <v>-703443</v>
      </c>
      <c r="AN25" s="10">
        <f t="shared" si="165"/>
        <v>-3818</v>
      </c>
      <c r="AO25" s="10">
        <f t="shared" si="165"/>
        <v>0</v>
      </c>
      <c r="AP25" s="10">
        <f t="shared" si="165"/>
        <v>0</v>
      </c>
      <c r="AQ25" s="10">
        <f t="shared" si="165"/>
        <v>0</v>
      </c>
      <c r="AR25" s="10">
        <f t="shared" si="165"/>
        <v>0</v>
      </c>
      <c r="AS25" s="10">
        <f t="shared" si="165"/>
        <v>0</v>
      </c>
      <c r="AT25" s="10">
        <f t="shared" si="165"/>
        <v>0</v>
      </c>
      <c r="AU25" s="10">
        <f t="shared" si="165"/>
        <v>0</v>
      </c>
      <c r="AV25" s="10">
        <f>AV456</f>
        <v>0</v>
      </c>
      <c r="AW25" s="10">
        <f>AW456</f>
        <v>0</v>
      </c>
      <c r="AX25" s="10">
        <f t="shared" si="158"/>
        <v>0</v>
      </c>
      <c r="AY25" s="10">
        <f t="shared" si="158"/>
        <v>0</v>
      </c>
      <c r="AZ25" s="10">
        <f t="shared" si="158"/>
        <v>0</v>
      </c>
      <c r="BA25" s="10">
        <f t="shared" si="158"/>
        <v>0</v>
      </c>
      <c r="BB25" s="10">
        <f t="shared" si="158"/>
        <v>0</v>
      </c>
      <c r="BC25" s="10">
        <f t="shared" si="158"/>
        <v>0</v>
      </c>
      <c r="BD25" s="10">
        <f t="shared" si="158"/>
        <v>0</v>
      </c>
      <c r="BE25" s="10">
        <f t="shared" si="158"/>
        <v>0</v>
      </c>
      <c r="BF25" s="10">
        <f>BF456</f>
        <v>0</v>
      </c>
    </row>
    <row r="26" spans="1:58" ht="14.1" customHeight="1">
      <c r="A26" s="412">
        <f t="shared" si="53"/>
        <v>20</v>
      </c>
      <c r="B26" s="89" t="s">
        <v>30</v>
      </c>
      <c r="C26" s="38">
        <f>SUM(D26:BF26)</f>
        <v>790361.24</v>
      </c>
      <c r="D26" s="10">
        <f>D475</f>
        <v>0</v>
      </c>
      <c r="E26" s="10">
        <f>E475</f>
        <v>0</v>
      </c>
      <c r="F26" s="10">
        <f t="shared" ref="F26" si="166">F475</f>
        <v>-188103</v>
      </c>
      <c r="G26" s="10">
        <f t="shared" ref="G26" si="167">G475</f>
        <v>0</v>
      </c>
      <c r="H26" s="10">
        <f t="shared" ref="H26:BE26" si="168">H475</f>
        <v>-4281.84</v>
      </c>
      <c r="I26" s="10">
        <f>I475</f>
        <v>341289</v>
      </c>
      <c r="J26" s="10">
        <f>J475</f>
        <v>0</v>
      </c>
      <c r="K26" s="10">
        <f>K475</f>
        <v>0</v>
      </c>
      <c r="L26" s="10">
        <f t="shared" ref="L26" si="169">L475</f>
        <v>0</v>
      </c>
      <c r="M26" s="10">
        <f t="shared" ref="M26:AB26" si="170">M475</f>
        <v>0</v>
      </c>
      <c r="N26" s="10">
        <f t="shared" si="170"/>
        <v>0</v>
      </c>
      <c r="O26" s="10">
        <f t="shared" si="170"/>
        <v>0</v>
      </c>
      <c r="P26" s="10">
        <f t="shared" si="170"/>
        <v>0</v>
      </c>
      <c r="Q26" s="10">
        <f t="shared" si="170"/>
        <v>0</v>
      </c>
      <c r="R26" s="10">
        <f t="shared" si="170"/>
        <v>0</v>
      </c>
      <c r="S26" s="10">
        <f t="shared" si="170"/>
        <v>0</v>
      </c>
      <c r="T26" s="10">
        <f t="shared" si="170"/>
        <v>0</v>
      </c>
      <c r="U26" s="10">
        <f t="shared" si="170"/>
        <v>0</v>
      </c>
      <c r="V26" s="10">
        <f t="shared" si="170"/>
        <v>0</v>
      </c>
      <c r="W26" s="10">
        <f t="shared" si="170"/>
        <v>0</v>
      </c>
      <c r="X26" s="10">
        <f t="shared" si="170"/>
        <v>0</v>
      </c>
      <c r="Y26" s="10">
        <f t="shared" si="170"/>
        <v>0</v>
      </c>
      <c r="Z26" s="10">
        <f t="shared" si="170"/>
        <v>0</v>
      </c>
      <c r="AA26" s="10">
        <f t="shared" si="170"/>
        <v>0</v>
      </c>
      <c r="AB26" s="10">
        <f t="shared" si="170"/>
        <v>0</v>
      </c>
      <c r="AC26" s="10">
        <f t="shared" ref="AC26" si="171">AC475</f>
        <v>0</v>
      </c>
      <c r="AD26" s="10">
        <f>AD475</f>
        <v>0</v>
      </c>
      <c r="AE26" s="10">
        <f>AE475</f>
        <v>0</v>
      </c>
      <c r="AF26" s="10">
        <f t="shared" ref="AF26" si="172">AF475</f>
        <v>0</v>
      </c>
      <c r="AG26" s="10">
        <f t="shared" ref="AG26" si="173">AG475</f>
        <v>0</v>
      </c>
      <c r="AH26" s="10">
        <f>AH475</f>
        <v>2363</v>
      </c>
      <c r="AI26" s="10">
        <f>AI475</f>
        <v>-33388</v>
      </c>
      <c r="AJ26" s="10">
        <f t="shared" ref="AJ26" si="174">AJ475</f>
        <v>0</v>
      </c>
      <c r="AK26" s="10">
        <f t="shared" ref="AK26:AU26" si="175">AK475</f>
        <v>0</v>
      </c>
      <c r="AL26" s="10">
        <f t="shared" si="175"/>
        <v>0</v>
      </c>
      <c r="AM26" s="10">
        <f t="shared" si="175"/>
        <v>0</v>
      </c>
      <c r="AN26" s="10">
        <f t="shared" si="175"/>
        <v>0</v>
      </c>
      <c r="AO26" s="10">
        <f t="shared" si="175"/>
        <v>0</v>
      </c>
      <c r="AP26" s="10">
        <f t="shared" si="175"/>
        <v>0</v>
      </c>
      <c r="AQ26" s="10">
        <f t="shared" si="175"/>
        <v>-1801</v>
      </c>
      <c r="AR26" s="10">
        <f t="shared" si="175"/>
        <v>78776</v>
      </c>
      <c r="AS26" s="10">
        <f t="shared" si="175"/>
        <v>0</v>
      </c>
      <c r="AT26" s="10">
        <f t="shared" si="175"/>
        <v>0</v>
      </c>
      <c r="AU26" s="10">
        <f t="shared" si="175"/>
        <v>0</v>
      </c>
      <c r="AV26" s="10">
        <f>AV475</f>
        <v>0</v>
      </c>
      <c r="AW26" s="10">
        <f>AW475</f>
        <v>0</v>
      </c>
      <c r="AX26" s="10">
        <f t="shared" si="168"/>
        <v>0</v>
      </c>
      <c r="AY26" s="10">
        <f t="shared" si="168"/>
        <v>0</v>
      </c>
      <c r="AZ26" s="10">
        <f t="shared" si="168"/>
        <v>0</v>
      </c>
      <c r="BA26" s="10">
        <f t="shared" si="168"/>
        <v>595507.07999999996</v>
      </c>
      <c r="BB26" s="10">
        <f t="shared" si="168"/>
        <v>0</v>
      </c>
      <c r="BC26" s="10">
        <f t="shared" si="168"/>
        <v>0</v>
      </c>
      <c r="BD26" s="10">
        <f t="shared" si="168"/>
        <v>0</v>
      </c>
      <c r="BE26" s="10">
        <f t="shared" si="168"/>
        <v>0</v>
      </c>
      <c r="BF26" s="10">
        <f>BF475</f>
        <v>0</v>
      </c>
    </row>
    <row r="27" spans="1:58" ht="14.1" customHeight="1">
      <c r="A27" s="412">
        <f t="shared" si="53"/>
        <v>21</v>
      </c>
      <c r="B27" s="89" t="s">
        <v>31</v>
      </c>
      <c r="C27" s="38">
        <f>SUM(D27:BF27)</f>
        <v>481719</v>
      </c>
      <c r="D27" s="10">
        <f>D496</f>
        <v>-375764</v>
      </c>
      <c r="E27" s="10">
        <f>E496</f>
        <v>-966793</v>
      </c>
      <c r="F27" s="10">
        <f t="shared" ref="F27" si="176">F496</f>
        <v>781753</v>
      </c>
      <c r="G27" s="10">
        <f t="shared" ref="G27" si="177">G496</f>
        <v>0</v>
      </c>
      <c r="H27" s="10">
        <f t="shared" ref="H27:BE27" si="178">H496</f>
        <v>-2273053</v>
      </c>
      <c r="I27" s="10">
        <f>I496</f>
        <v>0</v>
      </c>
      <c r="J27" s="10">
        <f>J496</f>
        <v>268715</v>
      </c>
      <c r="K27" s="10">
        <f>K496</f>
        <v>-527196</v>
      </c>
      <c r="L27" s="10">
        <f t="shared" ref="L27" si="179">L496</f>
        <v>0</v>
      </c>
      <c r="M27" s="10">
        <f t="shared" ref="M27:AB27" si="180">M496</f>
        <v>-182074</v>
      </c>
      <c r="N27" s="10">
        <f t="shared" si="180"/>
        <v>0</v>
      </c>
      <c r="O27" s="10">
        <f t="shared" si="180"/>
        <v>0</v>
      </c>
      <c r="P27" s="10">
        <f t="shared" si="180"/>
        <v>60241</v>
      </c>
      <c r="Q27" s="10">
        <f t="shared" si="180"/>
        <v>-78364</v>
      </c>
      <c r="R27" s="10">
        <f t="shared" si="180"/>
        <v>261674</v>
      </c>
      <c r="S27" s="10">
        <f t="shared" si="180"/>
        <v>-3951</v>
      </c>
      <c r="T27" s="10">
        <f t="shared" si="180"/>
        <v>-35006</v>
      </c>
      <c r="U27" s="10">
        <f t="shared" si="180"/>
        <v>71724</v>
      </c>
      <c r="V27" s="10">
        <f t="shared" si="180"/>
        <v>-22122</v>
      </c>
      <c r="W27" s="10">
        <f t="shared" si="180"/>
        <v>391</v>
      </c>
      <c r="X27" s="10">
        <f t="shared" si="180"/>
        <v>5900</v>
      </c>
      <c r="Y27" s="10">
        <f t="shared" si="180"/>
        <v>2358</v>
      </c>
      <c r="Z27" s="10">
        <f t="shared" si="180"/>
        <v>0</v>
      </c>
      <c r="AA27" s="10">
        <f t="shared" si="180"/>
        <v>-25215</v>
      </c>
      <c r="AB27" s="10">
        <f t="shared" si="180"/>
        <v>30350</v>
      </c>
      <c r="AC27" s="10">
        <f t="shared" ref="AC27" si="181">AC496</f>
        <v>675628</v>
      </c>
      <c r="AD27" s="10">
        <f>AD496</f>
        <v>-51823</v>
      </c>
      <c r="AE27" s="10">
        <f>AE496</f>
        <v>-224739</v>
      </c>
      <c r="AF27" s="10">
        <f t="shared" ref="AF27" si="182">AF496</f>
        <v>-6967</v>
      </c>
      <c r="AG27" s="10">
        <f t="shared" ref="AG27" si="183">AG496</f>
        <v>3111</v>
      </c>
      <c r="AH27" s="10">
        <f>AH496</f>
        <v>1943</v>
      </c>
      <c r="AI27" s="10">
        <f>AI496</f>
        <v>206379</v>
      </c>
      <c r="AJ27" s="10">
        <f t="shared" ref="AJ27" si="184">AJ496</f>
        <v>876</v>
      </c>
      <c r="AK27" s="10">
        <f t="shared" ref="AK27:AU27" si="185">AK496</f>
        <v>16115</v>
      </c>
      <c r="AL27" s="10">
        <f t="shared" si="185"/>
        <v>0</v>
      </c>
      <c r="AM27" s="10">
        <f t="shared" si="185"/>
        <v>222046</v>
      </c>
      <c r="AN27" s="10">
        <f t="shared" si="185"/>
        <v>0</v>
      </c>
      <c r="AO27" s="10">
        <f t="shared" si="185"/>
        <v>0</v>
      </c>
      <c r="AP27" s="10">
        <f t="shared" si="185"/>
        <v>31273</v>
      </c>
      <c r="AQ27" s="10">
        <f t="shared" si="185"/>
        <v>106</v>
      </c>
      <c r="AR27" s="10">
        <f t="shared" si="185"/>
        <v>-4627</v>
      </c>
      <c r="AS27" s="10">
        <f t="shared" si="185"/>
        <v>976025</v>
      </c>
      <c r="AT27" s="10">
        <f t="shared" si="185"/>
        <v>0</v>
      </c>
      <c r="AU27" s="10">
        <f t="shared" si="185"/>
        <v>0</v>
      </c>
      <c r="AV27" s="10">
        <f>AV496</f>
        <v>-10139</v>
      </c>
      <c r="AW27" s="10">
        <f>AW496</f>
        <v>0</v>
      </c>
      <c r="AX27" s="10">
        <f t="shared" si="178"/>
        <v>-3677</v>
      </c>
      <c r="AY27" s="10">
        <f t="shared" si="178"/>
        <v>1292491</v>
      </c>
      <c r="AZ27" s="10">
        <f t="shared" si="178"/>
        <v>399111</v>
      </c>
      <c r="BA27" s="10">
        <f t="shared" si="178"/>
        <v>-34981</v>
      </c>
      <c r="BB27" s="10">
        <f t="shared" si="178"/>
        <v>0</v>
      </c>
      <c r="BC27" s="10">
        <f t="shared" si="178"/>
        <v>0</v>
      </c>
      <c r="BD27" s="10">
        <f t="shared" si="178"/>
        <v>0</v>
      </c>
      <c r="BE27" s="10">
        <f t="shared" si="178"/>
        <v>0</v>
      </c>
      <c r="BF27" s="10">
        <f>BF496</f>
        <v>0</v>
      </c>
    </row>
    <row r="28" spans="1:58" ht="14.1" customHeight="1">
      <c r="A28" s="412">
        <f t="shared" si="53"/>
        <v>22</v>
      </c>
      <c r="B28" s="89" t="s">
        <v>32</v>
      </c>
      <c r="C28" s="38">
        <f>SUM(D28:BF28)</f>
        <v>67254</v>
      </c>
      <c r="D28" s="10">
        <f>D481</f>
        <v>0</v>
      </c>
      <c r="E28" s="10">
        <f>E481</f>
        <v>0</v>
      </c>
      <c r="F28" s="10">
        <f t="shared" ref="F28" si="186">F481</f>
        <v>0</v>
      </c>
      <c r="G28" s="10">
        <f t="shared" ref="G28" si="187">G481</f>
        <v>0</v>
      </c>
      <c r="H28" s="10">
        <f t="shared" ref="H28" si="188">H481</f>
        <v>0</v>
      </c>
      <c r="I28" s="10">
        <f>I481</f>
        <v>0</v>
      </c>
      <c r="J28" s="10">
        <f>J481</f>
        <v>0</v>
      </c>
      <c r="K28" s="10">
        <f>K481</f>
        <v>0</v>
      </c>
      <c r="L28" s="10">
        <f t="shared" ref="L28" si="189">L481</f>
        <v>0</v>
      </c>
      <c r="M28" s="10">
        <f t="shared" ref="M28:AB28" si="190">M481</f>
        <v>0</v>
      </c>
      <c r="N28" s="10">
        <f t="shared" si="190"/>
        <v>0</v>
      </c>
      <c r="O28" s="10">
        <f t="shared" si="190"/>
        <v>0</v>
      </c>
      <c r="P28" s="10">
        <f t="shared" si="190"/>
        <v>0</v>
      </c>
      <c r="Q28" s="10">
        <f t="shared" si="190"/>
        <v>0</v>
      </c>
      <c r="R28" s="10">
        <f t="shared" si="190"/>
        <v>0</v>
      </c>
      <c r="S28" s="10">
        <f t="shared" si="190"/>
        <v>67254</v>
      </c>
      <c r="T28" s="10">
        <f t="shared" si="190"/>
        <v>0</v>
      </c>
      <c r="U28" s="10">
        <f t="shared" si="190"/>
        <v>0</v>
      </c>
      <c r="V28" s="10">
        <f t="shared" si="190"/>
        <v>0</v>
      </c>
      <c r="W28" s="10">
        <f t="shared" si="190"/>
        <v>0</v>
      </c>
      <c r="X28" s="10">
        <f t="shared" si="190"/>
        <v>0</v>
      </c>
      <c r="Y28" s="10">
        <f t="shared" si="190"/>
        <v>0</v>
      </c>
      <c r="Z28" s="10">
        <f t="shared" si="190"/>
        <v>0</v>
      </c>
      <c r="AA28" s="10">
        <f t="shared" si="190"/>
        <v>0</v>
      </c>
      <c r="AB28" s="10">
        <f t="shared" si="190"/>
        <v>0</v>
      </c>
      <c r="AC28" s="10">
        <f t="shared" ref="AC28" si="191">AC481</f>
        <v>0</v>
      </c>
      <c r="AD28" s="10">
        <f>AD481</f>
        <v>0</v>
      </c>
      <c r="AE28" s="10">
        <f>AE481</f>
        <v>0</v>
      </c>
      <c r="AF28" s="10">
        <f t="shared" ref="AF28" si="192">AF481</f>
        <v>0</v>
      </c>
      <c r="AG28" s="10">
        <f t="shared" ref="AG28" si="193">AG481</f>
        <v>0</v>
      </c>
      <c r="AH28" s="10">
        <f>AH481</f>
        <v>0</v>
      </c>
      <c r="AI28" s="10">
        <f>AI481</f>
        <v>0</v>
      </c>
      <c r="AJ28" s="10">
        <f t="shared" ref="AJ28" si="194">AJ481</f>
        <v>0</v>
      </c>
      <c r="AK28" s="10">
        <f t="shared" ref="AK28:AU28" si="195">AK481</f>
        <v>0</v>
      </c>
      <c r="AL28" s="10">
        <f t="shared" si="195"/>
        <v>0</v>
      </c>
      <c r="AM28" s="10">
        <f t="shared" si="195"/>
        <v>0</v>
      </c>
      <c r="AN28" s="10">
        <f t="shared" si="195"/>
        <v>0</v>
      </c>
      <c r="AO28" s="10">
        <f t="shared" si="195"/>
        <v>0</v>
      </c>
      <c r="AP28" s="10">
        <f t="shared" si="195"/>
        <v>0</v>
      </c>
      <c r="AQ28" s="10">
        <f t="shared" si="195"/>
        <v>0</v>
      </c>
      <c r="AR28" s="10">
        <f t="shared" si="195"/>
        <v>0</v>
      </c>
      <c r="AS28" s="10">
        <f t="shared" si="195"/>
        <v>0</v>
      </c>
      <c r="AT28" s="10">
        <f t="shared" si="195"/>
        <v>0</v>
      </c>
      <c r="AU28" s="10">
        <f t="shared" si="195"/>
        <v>0</v>
      </c>
      <c r="AV28" s="10">
        <f>AV481</f>
        <v>0</v>
      </c>
      <c r="AW28" s="10">
        <f>AW481</f>
        <v>0</v>
      </c>
      <c r="AX28" s="10">
        <f t="shared" ref="AX28:BE28" si="196">AX481</f>
        <v>0</v>
      </c>
      <c r="AY28" s="10">
        <f t="shared" si="196"/>
        <v>0</v>
      </c>
      <c r="AZ28" s="10">
        <f t="shared" si="196"/>
        <v>0</v>
      </c>
      <c r="BA28" s="10">
        <f t="shared" si="196"/>
        <v>0</v>
      </c>
      <c r="BB28" s="10">
        <f t="shared" si="196"/>
        <v>0</v>
      </c>
      <c r="BC28" s="10">
        <f t="shared" si="196"/>
        <v>0</v>
      </c>
      <c r="BD28" s="10">
        <f t="shared" si="196"/>
        <v>0</v>
      </c>
      <c r="BE28" s="10">
        <f t="shared" si="196"/>
        <v>0</v>
      </c>
      <c r="BF28" s="10">
        <f>BF481</f>
        <v>0</v>
      </c>
    </row>
    <row r="29" spans="1:58" ht="14.1" customHeight="1">
      <c r="A29" s="412">
        <f t="shared" si="53"/>
        <v>23</v>
      </c>
      <c r="B29" s="56" t="s">
        <v>33</v>
      </c>
      <c r="C29" s="212">
        <f>SUM(D29:BF29)</f>
        <v>-18254.979999999996</v>
      </c>
      <c r="D29" s="64">
        <f>D492</f>
        <v>0</v>
      </c>
      <c r="E29" s="64">
        <f>E492</f>
        <v>0</v>
      </c>
      <c r="F29" s="64">
        <f t="shared" ref="F29" si="197">F492</f>
        <v>0</v>
      </c>
      <c r="G29" s="64">
        <f t="shared" ref="G29" si="198">G492</f>
        <v>0</v>
      </c>
      <c r="H29" s="64">
        <f t="shared" ref="H29:BE29" si="199">H492</f>
        <v>91240.02</v>
      </c>
      <c r="I29" s="64">
        <f>I492</f>
        <v>0</v>
      </c>
      <c r="J29" s="64">
        <f>J492</f>
        <v>0</v>
      </c>
      <c r="K29" s="64">
        <f>K492</f>
        <v>0</v>
      </c>
      <c r="L29" s="64">
        <f t="shared" ref="L29" si="200">L492</f>
        <v>0</v>
      </c>
      <c r="M29" s="64">
        <f t="shared" ref="M29:AB29" si="201">M492</f>
        <v>0</v>
      </c>
      <c r="N29" s="64">
        <f t="shared" si="201"/>
        <v>0</v>
      </c>
      <c r="O29" s="64">
        <f t="shared" si="201"/>
        <v>0</v>
      </c>
      <c r="P29" s="64">
        <f t="shared" si="201"/>
        <v>0</v>
      </c>
      <c r="Q29" s="64">
        <f t="shared" si="201"/>
        <v>0</v>
      </c>
      <c r="R29" s="64">
        <f t="shared" si="201"/>
        <v>0</v>
      </c>
      <c r="S29" s="64">
        <f t="shared" si="201"/>
        <v>0</v>
      </c>
      <c r="T29" s="64">
        <f t="shared" si="201"/>
        <v>0</v>
      </c>
      <c r="U29" s="64">
        <f t="shared" si="201"/>
        <v>0</v>
      </c>
      <c r="V29" s="64">
        <f t="shared" si="201"/>
        <v>0</v>
      </c>
      <c r="W29" s="64">
        <f t="shared" si="201"/>
        <v>0</v>
      </c>
      <c r="X29" s="64">
        <f t="shared" si="201"/>
        <v>0</v>
      </c>
      <c r="Y29" s="64">
        <f t="shared" si="201"/>
        <v>0</v>
      </c>
      <c r="Z29" s="64">
        <f t="shared" si="201"/>
        <v>0</v>
      </c>
      <c r="AA29" s="64">
        <f t="shared" si="201"/>
        <v>0</v>
      </c>
      <c r="AB29" s="64">
        <f t="shared" si="201"/>
        <v>0</v>
      </c>
      <c r="AC29" s="64">
        <f t="shared" ref="AC29" si="202">AC492</f>
        <v>0</v>
      </c>
      <c r="AD29" s="64">
        <f>AD492</f>
        <v>0</v>
      </c>
      <c r="AE29" s="64">
        <f>AE492</f>
        <v>0</v>
      </c>
      <c r="AF29" s="64">
        <f t="shared" ref="AF29" si="203">AF492</f>
        <v>0</v>
      </c>
      <c r="AG29" s="64">
        <f t="shared" ref="AG29" si="204">AG492</f>
        <v>0</v>
      </c>
      <c r="AH29" s="64">
        <f>AH492</f>
        <v>0</v>
      </c>
      <c r="AI29" s="64">
        <f>AI492</f>
        <v>0</v>
      </c>
      <c r="AJ29" s="64">
        <f t="shared" ref="AJ29" si="205">AJ492</f>
        <v>0</v>
      </c>
      <c r="AK29" s="64">
        <f t="shared" ref="AK29:AU29" si="206">AK492</f>
        <v>0</v>
      </c>
      <c r="AL29" s="64">
        <f t="shared" si="206"/>
        <v>0</v>
      </c>
      <c r="AM29" s="64">
        <f t="shared" si="206"/>
        <v>0</v>
      </c>
      <c r="AN29" s="64">
        <f t="shared" si="206"/>
        <v>0</v>
      </c>
      <c r="AO29" s="64">
        <f t="shared" si="206"/>
        <v>-109495</v>
      </c>
      <c r="AP29" s="64">
        <f t="shared" si="206"/>
        <v>0</v>
      </c>
      <c r="AQ29" s="64">
        <f t="shared" si="206"/>
        <v>0</v>
      </c>
      <c r="AR29" s="64">
        <f t="shared" si="206"/>
        <v>0</v>
      </c>
      <c r="AS29" s="64">
        <f t="shared" si="206"/>
        <v>0</v>
      </c>
      <c r="AT29" s="64">
        <f t="shared" si="206"/>
        <v>0</v>
      </c>
      <c r="AU29" s="64">
        <f t="shared" si="206"/>
        <v>0</v>
      </c>
      <c r="AV29" s="64">
        <f>AV492</f>
        <v>0</v>
      </c>
      <c r="AW29" s="64">
        <f>AW492</f>
        <v>0</v>
      </c>
      <c r="AX29" s="64">
        <f t="shared" si="199"/>
        <v>0</v>
      </c>
      <c r="AY29" s="64">
        <f t="shared" si="199"/>
        <v>0</v>
      </c>
      <c r="AZ29" s="64">
        <f t="shared" si="199"/>
        <v>0</v>
      </c>
      <c r="BA29" s="64">
        <f t="shared" si="199"/>
        <v>0</v>
      </c>
      <c r="BB29" s="64">
        <f t="shared" si="199"/>
        <v>0</v>
      </c>
      <c r="BC29" s="64">
        <f t="shared" si="199"/>
        <v>0</v>
      </c>
      <c r="BD29" s="64">
        <f t="shared" si="199"/>
        <v>0</v>
      </c>
      <c r="BE29" s="64">
        <f t="shared" si="199"/>
        <v>0</v>
      </c>
      <c r="BF29" s="64">
        <f>BF492</f>
        <v>0</v>
      </c>
    </row>
    <row r="30" spans="1:58" s="18" customFormat="1" ht="14.1" customHeight="1">
      <c r="A30" s="412">
        <f t="shared" si="53"/>
        <v>24</v>
      </c>
      <c r="B30" s="2" t="s">
        <v>34</v>
      </c>
      <c r="C30" s="16">
        <f t="shared" ref="C30:H30" si="207">SUM(C12)-SUM(C23:C29)</f>
        <v>-34593783.869999997</v>
      </c>
      <c r="D30" s="16">
        <f t="shared" si="207"/>
        <v>-6021068</v>
      </c>
      <c r="E30" s="16">
        <f t="shared" ref="E30" si="208">SUM(E12)-SUM(E23:E29)</f>
        <v>-13570742</v>
      </c>
      <c r="F30" s="16">
        <f t="shared" ref="F30" si="209">SUM(F12)-SUM(F23:F29)</f>
        <v>12526444</v>
      </c>
      <c r="G30" s="16">
        <f t="shared" ref="G30" si="210">SUM(G12)-SUM(G23:G29)</f>
        <v>0</v>
      </c>
      <c r="H30" s="16">
        <f t="shared" si="207"/>
        <v>-35617458.380000003</v>
      </c>
      <c r="I30" s="16">
        <f>SUM(I12)-SUM(I23:I29)</f>
        <v>4333902</v>
      </c>
      <c r="J30" s="16">
        <f>SUM(J12)-SUM(J23:J29)</f>
        <v>2093815.3599999999</v>
      </c>
      <c r="K30" s="16">
        <f>SUM(K12)-SUM(K23:K29)</f>
        <v>-8621409.6799999997</v>
      </c>
      <c r="L30" s="16">
        <f t="shared" ref="L30" si="211">SUM(L12)-SUM(L23:L29)</f>
        <v>-372542</v>
      </c>
      <c r="M30" s="16">
        <f t="shared" ref="M30:AB30" si="212">SUM(M12)-SUM(M23:M29)</f>
        <v>-5321306</v>
      </c>
      <c r="N30" s="16">
        <f t="shared" si="212"/>
        <v>0</v>
      </c>
      <c r="O30" s="16">
        <f t="shared" si="212"/>
        <v>0</v>
      </c>
      <c r="P30" s="16">
        <f t="shared" si="212"/>
        <v>965281.14</v>
      </c>
      <c r="Q30" s="16">
        <f t="shared" si="212"/>
        <v>-1255660.33</v>
      </c>
      <c r="R30" s="16">
        <f t="shared" si="212"/>
        <v>4192938.33</v>
      </c>
      <c r="S30" s="16">
        <f t="shared" si="212"/>
        <v>-63303</v>
      </c>
      <c r="T30" s="16">
        <f t="shared" si="212"/>
        <v>-560926</v>
      </c>
      <c r="U30" s="16">
        <f t="shared" si="212"/>
        <v>274684</v>
      </c>
      <c r="V30" s="16">
        <f t="shared" si="212"/>
        <v>-354477</v>
      </c>
      <c r="W30" s="16">
        <f t="shared" si="212"/>
        <v>6265</v>
      </c>
      <c r="X30" s="16">
        <f t="shared" si="212"/>
        <v>94544.320000000007</v>
      </c>
      <c r="Y30" s="16">
        <f t="shared" si="212"/>
        <v>37787.97</v>
      </c>
      <c r="Z30" s="16">
        <f t="shared" si="212"/>
        <v>-148679</v>
      </c>
      <c r="AA30" s="16">
        <f t="shared" si="212"/>
        <v>-404026</v>
      </c>
      <c r="AB30" s="16">
        <f t="shared" si="212"/>
        <v>486308.9</v>
      </c>
      <c r="AC30" s="16">
        <f t="shared" ref="AC30" si="213">SUM(AC12)-SUM(AC23:AC29)</f>
        <v>10825956</v>
      </c>
      <c r="AD30" s="16">
        <f>SUM(AD12)-SUM(AD23:AD29)</f>
        <v>-830381</v>
      </c>
      <c r="AE30" s="16">
        <f>SUM(AE12)-SUM(AE23:AE29)</f>
        <v>-3601119</v>
      </c>
      <c r="AF30" s="16">
        <f t="shared" ref="AF30" si="214">SUM(AF12)-SUM(AF23:AF29)</f>
        <v>-111639</v>
      </c>
      <c r="AG30" s="16">
        <f t="shared" ref="AG30" si="215">SUM(AG12)-SUM(AG23:AG29)</f>
        <v>-17386</v>
      </c>
      <c r="AH30" s="16">
        <f>SUM(AH12)-SUM(AH23:AH29)</f>
        <v>31127</v>
      </c>
      <c r="AI30" s="16">
        <f t="shared" ref="AI30:AU30" si="216">SUM(AI12)-SUM(AI23:AI29)</f>
        <v>3806272</v>
      </c>
      <c r="AJ30" s="16">
        <f t="shared" si="216"/>
        <v>14037.67</v>
      </c>
      <c r="AK30" s="16">
        <f t="shared" si="216"/>
        <v>258219</v>
      </c>
      <c r="AL30" s="16">
        <f t="shared" si="216"/>
        <v>-2037359</v>
      </c>
      <c r="AM30" s="16">
        <f t="shared" si="216"/>
        <v>481397</v>
      </c>
      <c r="AN30" s="16">
        <f t="shared" si="216"/>
        <v>3818</v>
      </c>
      <c r="AO30" s="16">
        <f t="shared" si="216"/>
        <v>109495</v>
      </c>
      <c r="AP30" s="16">
        <f t="shared" si="216"/>
        <v>501096</v>
      </c>
      <c r="AQ30" s="16">
        <f t="shared" si="216"/>
        <v>1695</v>
      </c>
      <c r="AR30" s="16">
        <f t="shared" si="216"/>
        <v>-74149</v>
      </c>
      <c r="AS30" s="16">
        <f t="shared" si="216"/>
        <v>-976025</v>
      </c>
      <c r="AT30" s="16">
        <f t="shared" si="216"/>
        <v>0</v>
      </c>
      <c r="AU30" s="16">
        <f t="shared" si="216"/>
        <v>0</v>
      </c>
      <c r="AV30" s="16">
        <f>SUM(AV12)-SUM(AV23:AV29)</f>
        <v>-162455</v>
      </c>
      <c r="AW30" s="16">
        <f>SUM(AW12)-SUM(AW23:AW29)</f>
        <v>0</v>
      </c>
      <c r="AX30" s="16">
        <f t="shared" ref="AX30:AZ30" si="217">SUM(AX12)-SUM(AX23:AX29)</f>
        <v>-58911.09</v>
      </c>
      <c r="AY30" s="16">
        <f t="shared" si="217"/>
        <v>-1292491</v>
      </c>
      <c r="AZ30" s="16">
        <f t="shared" si="217"/>
        <v>6395171</v>
      </c>
      <c r="BA30" s="16">
        <f>SUM(BA12)-SUM(BA23:BA29)</f>
        <v>-560526.07999999996</v>
      </c>
      <c r="BB30" s="16">
        <f t="shared" ref="BB30:BE30" si="218">SUM(BB12)-SUM(BB23:BB29)</f>
        <v>0</v>
      </c>
      <c r="BC30" s="16">
        <f t="shared" si="218"/>
        <v>0</v>
      </c>
      <c r="BD30" s="16">
        <f t="shared" si="218"/>
        <v>0</v>
      </c>
      <c r="BE30" s="16">
        <f t="shared" si="218"/>
        <v>0</v>
      </c>
      <c r="BF30" s="16">
        <f>SUM(BF12)-SUM(BF23:BF29)</f>
        <v>0</v>
      </c>
    </row>
    <row r="31" spans="1:58" s="18" customFormat="1" ht="14.1" customHeight="1">
      <c r="A31" s="412">
        <f t="shared" si="53"/>
        <v>25</v>
      </c>
      <c r="B31" s="6"/>
      <c r="C31" s="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</row>
    <row r="32" spans="1:58" ht="14.1" customHeight="1">
      <c r="A32" s="412">
        <f t="shared" si="53"/>
        <v>26</v>
      </c>
      <c r="B32" s="3" t="s">
        <v>35</v>
      </c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</row>
    <row r="33" spans="1:58" ht="14.1" customHeight="1">
      <c r="A33" s="412">
        <f t="shared" si="53"/>
        <v>27</v>
      </c>
      <c r="B33" s="89" t="s">
        <v>36</v>
      </c>
      <c r="C33" s="38">
        <f>SUM(D33:BF33)</f>
        <v>-4546975</v>
      </c>
      <c r="D33" s="10">
        <f t="shared" ref="D33:H33" si="219">D497</f>
        <v>-2107374</v>
      </c>
      <c r="E33" s="10">
        <f t="shared" ref="E33" si="220">E497</f>
        <v>-5422002</v>
      </c>
      <c r="F33" s="10">
        <f t="shared" ref="F33" si="221">F497</f>
        <v>4384255</v>
      </c>
      <c r="G33" s="10">
        <f t="shared" ref="G33" si="222">G497</f>
        <v>0</v>
      </c>
      <c r="H33" s="10">
        <f t="shared" si="219"/>
        <v>-12747821</v>
      </c>
      <c r="I33" s="10">
        <f t="shared" ref="I33:K36" si="223">I497</f>
        <v>0</v>
      </c>
      <c r="J33" s="10">
        <f t="shared" si="223"/>
        <v>1507015</v>
      </c>
      <c r="K33" s="10">
        <f t="shared" si="223"/>
        <v>-2956637</v>
      </c>
      <c r="L33" s="10">
        <f t="shared" ref="L33" si="224">L497</f>
        <v>0</v>
      </c>
      <c r="M33" s="10">
        <f t="shared" ref="M33:AB33" si="225">M497</f>
        <v>-1021114</v>
      </c>
      <c r="N33" s="10">
        <f t="shared" si="225"/>
        <v>0</v>
      </c>
      <c r="O33" s="10">
        <f t="shared" si="225"/>
        <v>0</v>
      </c>
      <c r="P33" s="10">
        <f t="shared" si="225"/>
        <v>337848</v>
      </c>
      <c r="Q33" s="10">
        <f t="shared" si="225"/>
        <v>-439481</v>
      </c>
      <c r="R33" s="10">
        <f t="shared" si="225"/>
        <v>1467528</v>
      </c>
      <c r="S33" s="10">
        <f t="shared" si="225"/>
        <v>-22156</v>
      </c>
      <c r="T33" s="10">
        <f t="shared" si="225"/>
        <v>-196324</v>
      </c>
      <c r="U33" s="10">
        <f t="shared" si="225"/>
        <v>402247</v>
      </c>
      <c r="V33" s="10">
        <f t="shared" si="225"/>
        <v>-124067</v>
      </c>
      <c r="W33" s="10">
        <f t="shared" si="225"/>
        <v>2193</v>
      </c>
      <c r="X33" s="10">
        <f t="shared" si="225"/>
        <v>33091</v>
      </c>
      <c r="Y33" s="10">
        <f t="shared" si="225"/>
        <v>13226</v>
      </c>
      <c r="Z33" s="10">
        <f t="shared" si="225"/>
        <v>0</v>
      </c>
      <c r="AA33" s="10">
        <f t="shared" si="225"/>
        <v>-141409</v>
      </c>
      <c r="AB33" s="10">
        <f t="shared" si="225"/>
        <v>170208</v>
      </c>
      <c r="AC33" s="10">
        <f t="shared" ref="AC33" si="226">AC497</f>
        <v>3789085</v>
      </c>
      <c r="AD33" s="10">
        <f t="shared" ref="AD33:AE36" si="227">AD497</f>
        <v>-290633</v>
      </c>
      <c r="AE33" s="10">
        <f t="shared" si="227"/>
        <v>-1260392</v>
      </c>
      <c r="AF33" s="10">
        <f t="shared" ref="AF33" si="228">AF497</f>
        <v>-39074</v>
      </c>
      <c r="AG33" s="10">
        <f t="shared" ref="AG33" si="229">AG497</f>
        <v>17446</v>
      </c>
      <c r="AH33" s="10">
        <f t="shared" ref="AH33:AI36" si="230">AH497</f>
        <v>10894</v>
      </c>
      <c r="AI33" s="10">
        <f t="shared" si="230"/>
        <v>1157423</v>
      </c>
      <c r="AJ33" s="10">
        <f t="shared" ref="AJ33" si="231">AJ497</f>
        <v>4913</v>
      </c>
      <c r="AK33" s="10">
        <f t="shared" ref="AK33:AS33" si="232">AK497</f>
        <v>90377</v>
      </c>
      <c r="AL33" s="10">
        <f t="shared" si="232"/>
        <v>0</v>
      </c>
      <c r="AM33" s="10">
        <f t="shared" si="232"/>
        <v>1245284</v>
      </c>
      <c r="AN33" s="10">
        <f t="shared" si="232"/>
        <v>0</v>
      </c>
      <c r="AO33" s="10">
        <f t="shared" si="232"/>
        <v>0</v>
      </c>
      <c r="AP33" s="10">
        <f t="shared" si="232"/>
        <v>175384</v>
      </c>
      <c r="AQ33" s="10">
        <f t="shared" si="232"/>
        <v>593</v>
      </c>
      <c r="AR33" s="10">
        <f t="shared" si="232"/>
        <v>-25952</v>
      </c>
      <c r="AS33" s="10">
        <f t="shared" si="232"/>
        <v>5473803</v>
      </c>
      <c r="AT33" s="10">
        <f t="shared" ref="AT33:AU36" si="233">AT497</f>
        <v>0</v>
      </c>
      <c r="AU33" s="10">
        <f t="shared" si="233"/>
        <v>0</v>
      </c>
      <c r="AV33" s="10">
        <f t="shared" ref="AV33:AW36" si="234">AV497</f>
        <v>-56859</v>
      </c>
      <c r="AW33" s="10">
        <f t="shared" si="234"/>
        <v>0</v>
      </c>
      <c r="AX33" s="10">
        <f t="shared" ref="AX33:BE36" si="235">AX497</f>
        <v>-20619</v>
      </c>
      <c r="AY33" s="10">
        <f t="shared" si="235"/>
        <v>0</v>
      </c>
      <c r="AZ33" s="10">
        <f t="shared" si="235"/>
        <v>2238310</v>
      </c>
      <c r="BA33" s="10">
        <f t="shared" si="235"/>
        <v>-196184</v>
      </c>
      <c r="BB33" s="10">
        <f t="shared" si="235"/>
        <v>0</v>
      </c>
      <c r="BC33" s="10">
        <f t="shared" si="235"/>
        <v>0</v>
      </c>
      <c r="BD33" s="10">
        <f t="shared" si="235"/>
        <v>0</v>
      </c>
      <c r="BE33" s="10">
        <f t="shared" si="235"/>
        <v>0</v>
      </c>
      <c r="BF33" s="10">
        <f t="shared" ref="BF33:BF36" si="236">BF497</f>
        <v>0</v>
      </c>
    </row>
    <row r="34" spans="1:58" ht="14.1" customHeight="1">
      <c r="A34" s="412">
        <f t="shared" si="53"/>
        <v>28</v>
      </c>
      <c r="B34" s="89" t="s">
        <v>37</v>
      </c>
      <c r="C34" s="38">
        <f>SUM(D34:BF34)</f>
        <v>-1516162</v>
      </c>
      <c r="D34" s="10">
        <f t="shared" ref="D34:E36" si="237">D498</f>
        <v>0</v>
      </c>
      <c r="E34" s="10">
        <f t="shared" si="237"/>
        <v>672242</v>
      </c>
      <c r="F34" s="10">
        <f t="shared" ref="F34" si="238">F498</f>
        <v>0</v>
      </c>
      <c r="G34" s="10">
        <f t="shared" ref="G34" si="239">G498</f>
        <v>0</v>
      </c>
      <c r="H34" s="10">
        <f t="shared" ref="H34" si="240">H498</f>
        <v>281710</v>
      </c>
      <c r="I34" s="10">
        <f t="shared" si="223"/>
        <v>1516866</v>
      </c>
      <c r="J34" s="10">
        <f t="shared" si="223"/>
        <v>-774180</v>
      </c>
      <c r="K34" s="10">
        <f t="shared" si="223"/>
        <v>-60856</v>
      </c>
      <c r="L34" s="10">
        <f t="shared" ref="L34" si="241">L498</f>
        <v>-130390</v>
      </c>
      <c r="M34" s="10">
        <f t="shared" ref="M34:AB34" si="242">M498</f>
        <v>-841343</v>
      </c>
      <c r="N34" s="10">
        <f t="shared" si="242"/>
        <v>0</v>
      </c>
      <c r="O34" s="10">
        <f t="shared" si="242"/>
        <v>0</v>
      </c>
      <c r="P34" s="10">
        <f t="shared" si="242"/>
        <v>0</v>
      </c>
      <c r="Q34" s="10">
        <f t="shared" si="242"/>
        <v>0</v>
      </c>
      <c r="R34" s="10">
        <f t="shared" si="242"/>
        <v>0</v>
      </c>
      <c r="S34" s="10">
        <f t="shared" si="242"/>
        <v>0</v>
      </c>
      <c r="T34" s="10">
        <f t="shared" si="242"/>
        <v>0</v>
      </c>
      <c r="U34" s="10">
        <f t="shared" si="242"/>
        <v>-306107</v>
      </c>
      <c r="V34" s="10">
        <f t="shared" si="242"/>
        <v>0</v>
      </c>
      <c r="W34" s="10">
        <f t="shared" si="242"/>
        <v>0</v>
      </c>
      <c r="X34" s="10">
        <f t="shared" si="242"/>
        <v>0</v>
      </c>
      <c r="Y34" s="10">
        <f t="shared" si="242"/>
        <v>0</v>
      </c>
      <c r="Z34" s="10">
        <f t="shared" si="242"/>
        <v>-52038</v>
      </c>
      <c r="AA34" s="10">
        <f t="shared" si="242"/>
        <v>0</v>
      </c>
      <c r="AB34" s="10">
        <f t="shared" si="242"/>
        <v>0</v>
      </c>
      <c r="AC34" s="10">
        <f t="shared" ref="AC34" si="243">AC498</f>
        <v>0</v>
      </c>
      <c r="AD34" s="10">
        <f t="shared" si="227"/>
        <v>0</v>
      </c>
      <c r="AE34" s="10">
        <f t="shared" si="227"/>
        <v>0</v>
      </c>
      <c r="AF34" s="10">
        <f t="shared" ref="AF34" si="244">AF498</f>
        <v>0</v>
      </c>
      <c r="AG34" s="10">
        <f t="shared" ref="AG34" si="245">AG498</f>
        <v>-23532</v>
      </c>
      <c r="AH34" s="10">
        <f t="shared" si="230"/>
        <v>0</v>
      </c>
      <c r="AI34" s="10">
        <f t="shared" si="230"/>
        <v>174772</v>
      </c>
      <c r="AJ34" s="10">
        <f t="shared" ref="AJ34" si="246">AJ498</f>
        <v>0</v>
      </c>
      <c r="AK34" s="10">
        <f t="shared" ref="AK34:AS34" si="247">AK498</f>
        <v>0</v>
      </c>
      <c r="AL34" s="10">
        <f t="shared" si="247"/>
        <v>-646487</v>
      </c>
      <c r="AM34" s="10">
        <f t="shared" si="247"/>
        <v>-942303</v>
      </c>
      <c r="AN34" s="10">
        <f t="shared" si="247"/>
        <v>1336</v>
      </c>
      <c r="AO34" s="10">
        <f t="shared" si="247"/>
        <v>38323</v>
      </c>
      <c r="AP34" s="10">
        <f t="shared" si="247"/>
        <v>0</v>
      </c>
      <c r="AQ34" s="10">
        <f t="shared" si="247"/>
        <v>0</v>
      </c>
      <c r="AR34" s="10">
        <f t="shared" si="247"/>
        <v>0</v>
      </c>
      <c r="AS34" s="10">
        <f t="shared" si="247"/>
        <v>0</v>
      </c>
      <c r="AT34" s="10">
        <f t="shared" si="233"/>
        <v>28197</v>
      </c>
      <c r="AU34" s="10">
        <f t="shared" si="233"/>
        <v>0</v>
      </c>
      <c r="AV34" s="10">
        <f t="shared" si="234"/>
        <v>0</v>
      </c>
      <c r="AW34" s="10">
        <f t="shared" si="234"/>
        <v>0</v>
      </c>
      <c r="AX34" s="10">
        <f t="shared" ref="AX34:AZ34" si="248">AX498</f>
        <v>0</v>
      </c>
      <c r="AY34" s="10">
        <f t="shared" si="248"/>
        <v>-452372</v>
      </c>
      <c r="AZ34" s="10">
        <f t="shared" si="248"/>
        <v>0</v>
      </c>
      <c r="BA34" s="10">
        <f t="shared" si="235"/>
        <v>0</v>
      </c>
      <c r="BB34" s="10">
        <f t="shared" si="235"/>
        <v>0</v>
      </c>
      <c r="BC34" s="10">
        <f t="shared" si="235"/>
        <v>0</v>
      </c>
      <c r="BD34" s="10">
        <f t="shared" si="235"/>
        <v>0</v>
      </c>
      <c r="BE34" s="10">
        <f t="shared" si="235"/>
        <v>0</v>
      </c>
      <c r="BF34" s="10">
        <f t="shared" si="236"/>
        <v>0</v>
      </c>
    </row>
    <row r="35" spans="1:58" s="22" customFormat="1" ht="14.1" customHeight="1">
      <c r="A35" s="412">
        <f t="shared" si="53"/>
        <v>29</v>
      </c>
      <c r="B35" s="22" t="s">
        <v>38</v>
      </c>
      <c r="C35" s="38">
        <f>SUM(D35:BF35)</f>
        <v>0</v>
      </c>
      <c r="D35" s="43">
        <f t="shared" si="237"/>
        <v>0</v>
      </c>
      <c r="E35" s="43">
        <f t="shared" si="237"/>
        <v>0</v>
      </c>
      <c r="F35" s="43">
        <f t="shared" ref="F35" si="249">F499</f>
        <v>0</v>
      </c>
      <c r="G35" s="43">
        <f t="shared" ref="G35" si="250">G499</f>
        <v>0</v>
      </c>
      <c r="H35" s="43">
        <f t="shared" ref="H35" si="251">H499</f>
        <v>0</v>
      </c>
      <c r="I35" s="43">
        <f t="shared" si="223"/>
        <v>0</v>
      </c>
      <c r="J35" s="43">
        <f t="shared" si="223"/>
        <v>0</v>
      </c>
      <c r="K35" s="43">
        <f t="shared" si="223"/>
        <v>0</v>
      </c>
      <c r="L35" s="43">
        <f t="shared" ref="L35" si="252">L499</f>
        <v>0</v>
      </c>
      <c r="M35" s="43">
        <f t="shared" ref="M35:AB35" si="253">M499</f>
        <v>0</v>
      </c>
      <c r="N35" s="43">
        <f t="shared" si="253"/>
        <v>0</v>
      </c>
      <c r="O35" s="43">
        <f t="shared" si="253"/>
        <v>0</v>
      </c>
      <c r="P35" s="43">
        <f t="shared" si="253"/>
        <v>0</v>
      </c>
      <c r="Q35" s="43">
        <f t="shared" si="253"/>
        <v>0</v>
      </c>
      <c r="R35" s="43">
        <f t="shared" si="253"/>
        <v>0</v>
      </c>
      <c r="S35" s="43">
        <f t="shared" si="253"/>
        <v>0</v>
      </c>
      <c r="T35" s="43">
        <f t="shared" si="253"/>
        <v>0</v>
      </c>
      <c r="U35" s="43">
        <f t="shared" si="253"/>
        <v>0</v>
      </c>
      <c r="V35" s="43">
        <f t="shared" si="253"/>
        <v>0</v>
      </c>
      <c r="W35" s="43">
        <f t="shared" si="253"/>
        <v>0</v>
      </c>
      <c r="X35" s="43">
        <f t="shared" si="253"/>
        <v>0</v>
      </c>
      <c r="Y35" s="43">
        <f t="shared" si="253"/>
        <v>0</v>
      </c>
      <c r="Z35" s="43">
        <f t="shared" si="253"/>
        <v>0</v>
      </c>
      <c r="AA35" s="43">
        <f t="shared" si="253"/>
        <v>0</v>
      </c>
      <c r="AB35" s="43">
        <f t="shared" si="253"/>
        <v>0</v>
      </c>
      <c r="AC35" s="43">
        <f t="shared" ref="AC35" si="254">AC499</f>
        <v>0</v>
      </c>
      <c r="AD35" s="43">
        <f t="shared" si="227"/>
        <v>0</v>
      </c>
      <c r="AE35" s="43">
        <f t="shared" si="227"/>
        <v>0</v>
      </c>
      <c r="AF35" s="43">
        <f t="shared" ref="AF35" si="255">AF499</f>
        <v>0</v>
      </c>
      <c r="AG35" s="43">
        <f t="shared" ref="AG35" si="256">AG499</f>
        <v>0</v>
      </c>
      <c r="AH35" s="43">
        <f t="shared" si="230"/>
        <v>0</v>
      </c>
      <c r="AI35" s="43">
        <f t="shared" si="230"/>
        <v>0</v>
      </c>
      <c r="AJ35" s="43">
        <f t="shared" ref="AJ35" si="257">AJ499</f>
        <v>0</v>
      </c>
      <c r="AK35" s="43">
        <f t="shared" ref="AK35:AS35" si="258">AK499</f>
        <v>0</v>
      </c>
      <c r="AL35" s="43">
        <f t="shared" si="258"/>
        <v>0</v>
      </c>
      <c r="AM35" s="43">
        <f t="shared" si="258"/>
        <v>0</v>
      </c>
      <c r="AN35" s="43">
        <f t="shared" si="258"/>
        <v>0</v>
      </c>
      <c r="AO35" s="43">
        <f t="shared" si="258"/>
        <v>0</v>
      </c>
      <c r="AP35" s="43">
        <f t="shared" si="258"/>
        <v>0</v>
      </c>
      <c r="AQ35" s="43">
        <f t="shared" si="258"/>
        <v>0</v>
      </c>
      <c r="AR35" s="43">
        <f t="shared" si="258"/>
        <v>0</v>
      </c>
      <c r="AS35" s="43">
        <f t="shared" si="258"/>
        <v>0</v>
      </c>
      <c r="AT35" s="43">
        <f t="shared" si="233"/>
        <v>0</v>
      </c>
      <c r="AU35" s="43">
        <f t="shared" si="233"/>
        <v>0</v>
      </c>
      <c r="AV35" s="43">
        <f t="shared" si="234"/>
        <v>0</v>
      </c>
      <c r="AW35" s="43">
        <f t="shared" si="234"/>
        <v>0</v>
      </c>
      <c r="AX35" s="43">
        <f t="shared" ref="AX35:AZ35" si="259">AX499</f>
        <v>0</v>
      </c>
      <c r="AY35" s="43">
        <f t="shared" si="259"/>
        <v>0</v>
      </c>
      <c r="AZ35" s="43">
        <f t="shared" si="259"/>
        <v>0</v>
      </c>
      <c r="BA35" s="43">
        <f t="shared" si="235"/>
        <v>0</v>
      </c>
      <c r="BB35" s="43">
        <f t="shared" si="235"/>
        <v>0</v>
      </c>
      <c r="BC35" s="43">
        <f t="shared" si="235"/>
        <v>0</v>
      </c>
      <c r="BD35" s="43">
        <f t="shared" si="235"/>
        <v>0</v>
      </c>
      <c r="BE35" s="43">
        <f t="shared" si="235"/>
        <v>0</v>
      </c>
      <c r="BF35" s="43">
        <f t="shared" si="236"/>
        <v>0</v>
      </c>
    </row>
    <row r="36" spans="1:58" s="22" customFormat="1" ht="14.1" customHeight="1">
      <c r="A36" s="412">
        <f t="shared" si="53"/>
        <v>30</v>
      </c>
      <c r="B36" s="56" t="s">
        <v>391</v>
      </c>
      <c r="C36" s="38">
        <f>SUM(D36:BF36)</f>
        <v>0</v>
      </c>
      <c r="D36" s="43">
        <f t="shared" si="237"/>
        <v>0</v>
      </c>
      <c r="E36" s="43">
        <f t="shared" si="237"/>
        <v>0</v>
      </c>
      <c r="F36" s="43">
        <f t="shared" ref="F36" si="260">F500</f>
        <v>0</v>
      </c>
      <c r="G36" s="43">
        <f t="shared" ref="G36" si="261">G500</f>
        <v>0</v>
      </c>
      <c r="H36" s="43">
        <f t="shared" ref="H36" si="262">H500</f>
        <v>0</v>
      </c>
      <c r="I36" s="43">
        <f t="shared" si="223"/>
        <v>0</v>
      </c>
      <c r="J36" s="43">
        <f t="shared" si="223"/>
        <v>0</v>
      </c>
      <c r="K36" s="43">
        <f t="shared" si="223"/>
        <v>0</v>
      </c>
      <c r="L36" s="43">
        <f t="shared" ref="L36" si="263">L500</f>
        <v>0</v>
      </c>
      <c r="M36" s="43">
        <f t="shared" ref="M36:AB36" si="264">M500</f>
        <v>0</v>
      </c>
      <c r="N36" s="43">
        <f t="shared" si="264"/>
        <v>0</v>
      </c>
      <c r="O36" s="43">
        <f t="shared" si="264"/>
        <v>0</v>
      </c>
      <c r="P36" s="43">
        <f t="shared" si="264"/>
        <v>0</v>
      </c>
      <c r="Q36" s="43">
        <f t="shared" si="264"/>
        <v>0</v>
      </c>
      <c r="R36" s="43">
        <f t="shared" si="264"/>
        <v>0</v>
      </c>
      <c r="S36" s="43">
        <f t="shared" si="264"/>
        <v>0</v>
      </c>
      <c r="T36" s="43">
        <f t="shared" si="264"/>
        <v>0</v>
      </c>
      <c r="U36" s="43">
        <f t="shared" si="264"/>
        <v>0</v>
      </c>
      <c r="V36" s="43">
        <f t="shared" si="264"/>
        <v>0</v>
      </c>
      <c r="W36" s="43">
        <f t="shared" si="264"/>
        <v>0</v>
      </c>
      <c r="X36" s="43">
        <f t="shared" si="264"/>
        <v>0</v>
      </c>
      <c r="Y36" s="43">
        <f t="shared" si="264"/>
        <v>0</v>
      </c>
      <c r="Z36" s="43">
        <f t="shared" si="264"/>
        <v>0</v>
      </c>
      <c r="AA36" s="43">
        <f t="shared" si="264"/>
        <v>0</v>
      </c>
      <c r="AB36" s="43">
        <f t="shared" si="264"/>
        <v>0</v>
      </c>
      <c r="AC36" s="43">
        <f t="shared" ref="AC36" si="265">AC500</f>
        <v>0</v>
      </c>
      <c r="AD36" s="43">
        <f t="shared" si="227"/>
        <v>0</v>
      </c>
      <c r="AE36" s="43">
        <f t="shared" si="227"/>
        <v>0</v>
      </c>
      <c r="AF36" s="43">
        <f t="shared" ref="AF36" si="266">AF500</f>
        <v>0</v>
      </c>
      <c r="AG36" s="43">
        <f t="shared" ref="AG36" si="267">AG500</f>
        <v>0</v>
      </c>
      <c r="AH36" s="43">
        <f t="shared" si="230"/>
        <v>0</v>
      </c>
      <c r="AI36" s="43">
        <f t="shared" si="230"/>
        <v>0</v>
      </c>
      <c r="AJ36" s="43">
        <f t="shared" ref="AJ36" si="268">AJ500</f>
        <v>0</v>
      </c>
      <c r="AK36" s="43">
        <f t="shared" ref="AK36:AS36" si="269">AK500</f>
        <v>0</v>
      </c>
      <c r="AL36" s="43">
        <f t="shared" si="269"/>
        <v>0</v>
      </c>
      <c r="AM36" s="43">
        <f t="shared" si="269"/>
        <v>0</v>
      </c>
      <c r="AN36" s="43">
        <f t="shared" si="269"/>
        <v>0</v>
      </c>
      <c r="AO36" s="43">
        <f t="shared" si="269"/>
        <v>0</v>
      </c>
      <c r="AP36" s="43">
        <f t="shared" si="269"/>
        <v>0</v>
      </c>
      <c r="AQ36" s="43">
        <f t="shared" si="269"/>
        <v>0</v>
      </c>
      <c r="AR36" s="43">
        <f t="shared" si="269"/>
        <v>0</v>
      </c>
      <c r="AS36" s="43">
        <f t="shared" si="269"/>
        <v>0</v>
      </c>
      <c r="AT36" s="43">
        <f t="shared" si="233"/>
        <v>0</v>
      </c>
      <c r="AU36" s="43">
        <f t="shared" si="233"/>
        <v>0</v>
      </c>
      <c r="AV36" s="43">
        <f t="shared" si="234"/>
        <v>0</v>
      </c>
      <c r="AW36" s="43">
        <f t="shared" si="234"/>
        <v>0</v>
      </c>
      <c r="AX36" s="43">
        <f t="shared" ref="AX36:AZ36" si="270">AX500</f>
        <v>0</v>
      </c>
      <c r="AY36" s="43">
        <f t="shared" si="270"/>
        <v>0</v>
      </c>
      <c r="AZ36" s="43">
        <f t="shared" si="270"/>
        <v>0</v>
      </c>
      <c r="BA36" s="43">
        <f t="shared" si="235"/>
        <v>0</v>
      </c>
      <c r="BB36" s="43">
        <f t="shared" si="235"/>
        <v>0</v>
      </c>
      <c r="BC36" s="43">
        <f t="shared" si="235"/>
        <v>0</v>
      </c>
      <c r="BD36" s="43">
        <f t="shared" si="235"/>
        <v>0</v>
      </c>
      <c r="BE36" s="43">
        <f t="shared" si="235"/>
        <v>0</v>
      </c>
      <c r="BF36" s="43">
        <f t="shared" si="236"/>
        <v>0</v>
      </c>
    </row>
    <row r="37" spans="1:58" s="139" customFormat="1" ht="14.1" customHeight="1">
      <c r="A37" s="412">
        <f t="shared" si="53"/>
        <v>31</v>
      </c>
      <c r="B37" s="2" t="s">
        <v>39</v>
      </c>
      <c r="C37" s="86">
        <f>SUM(C32:C36)</f>
        <v>-6063137</v>
      </c>
      <c r="D37" s="86">
        <f>SUM(D32:D36)</f>
        <v>-2107374</v>
      </c>
      <c r="E37" s="86">
        <f>SUM(E32:E36)</f>
        <v>-4749760</v>
      </c>
      <c r="F37" s="86">
        <f t="shared" ref="F37" si="271">SUM(F32:F36)</f>
        <v>4384255</v>
      </c>
      <c r="G37" s="86">
        <f t="shared" ref="G37" si="272">SUM(G32:G36)</f>
        <v>0</v>
      </c>
      <c r="H37" s="86">
        <f t="shared" ref="H37:BE37" si="273">SUM(H32:H36)</f>
        <v>-12466111</v>
      </c>
      <c r="I37" s="86">
        <f>SUM(I32:I36)</f>
        <v>1516866</v>
      </c>
      <c r="J37" s="86">
        <f>SUM(J32:J36)</f>
        <v>732835</v>
      </c>
      <c r="K37" s="86">
        <f>SUM(K32:K36)</f>
        <v>-3017493</v>
      </c>
      <c r="L37" s="86">
        <f t="shared" ref="L37" si="274">SUM(L32:L36)</f>
        <v>-130390</v>
      </c>
      <c r="M37" s="86">
        <f t="shared" ref="M37:AB37" si="275">SUM(M32:M36)</f>
        <v>-1862457</v>
      </c>
      <c r="N37" s="86">
        <f t="shared" si="275"/>
        <v>0</v>
      </c>
      <c r="O37" s="86">
        <f t="shared" si="275"/>
        <v>0</v>
      </c>
      <c r="P37" s="86">
        <f t="shared" si="275"/>
        <v>337848</v>
      </c>
      <c r="Q37" s="86">
        <f t="shared" si="275"/>
        <v>-439481</v>
      </c>
      <c r="R37" s="86">
        <f t="shared" si="275"/>
        <v>1467528</v>
      </c>
      <c r="S37" s="86">
        <f t="shared" si="275"/>
        <v>-22156</v>
      </c>
      <c r="T37" s="86">
        <f t="shared" si="275"/>
        <v>-196324</v>
      </c>
      <c r="U37" s="86">
        <f t="shared" si="275"/>
        <v>96140</v>
      </c>
      <c r="V37" s="86">
        <f t="shared" si="275"/>
        <v>-124067</v>
      </c>
      <c r="W37" s="86">
        <f t="shared" si="275"/>
        <v>2193</v>
      </c>
      <c r="X37" s="86">
        <f t="shared" si="275"/>
        <v>33091</v>
      </c>
      <c r="Y37" s="86">
        <f t="shared" si="275"/>
        <v>13226</v>
      </c>
      <c r="Z37" s="86">
        <f t="shared" si="275"/>
        <v>-52038</v>
      </c>
      <c r="AA37" s="86">
        <f t="shared" si="275"/>
        <v>-141409</v>
      </c>
      <c r="AB37" s="86">
        <f t="shared" si="275"/>
        <v>170208</v>
      </c>
      <c r="AC37" s="86">
        <f t="shared" ref="AC37" si="276">SUM(AC32:AC36)</f>
        <v>3789085</v>
      </c>
      <c r="AD37" s="86">
        <f>SUM(AD32:AD36)</f>
        <v>-290633</v>
      </c>
      <c r="AE37" s="86">
        <f>SUM(AE32:AE36)</f>
        <v>-1260392</v>
      </c>
      <c r="AF37" s="86">
        <f t="shared" ref="AF37" si="277">SUM(AF32:AF36)</f>
        <v>-39074</v>
      </c>
      <c r="AG37" s="86">
        <f t="shared" ref="AG37" si="278">SUM(AG32:AG36)</f>
        <v>-6086</v>
      </c>
      <c r="AH37" s="86">
        <f>SUM(AH32:AH36)</f>
        <v>10894</v>
      </c>
      <c r="AI37" s="86">
        <f>SUM(AI32:AI36)</f>
        <v>1332195</v>
      </c>
      <c r="AJ37" s="86">
        <f t="shared" ref="AJ37" si="279">SUM(AJ32:AJ36)</f>
        <v>4913</v>
      </c>
      <c r="AK37" s="86">
        <f t="shared" ref="AK37:AU37" si="280">SUM(AK32:AK36)</f>
        <v>90377</v>
      </c>
      <c r="AL37" s="86">
        <f t="shared" si="280"/>
        <v>-646487</v>
      </c>
      <c r="AM37" s="86">
        <f t="shared" si="280"/>
        <v>302981</v>
      </c>
      <c r="AN37" s="86">
        <f t="shared" si="280"/>
        <v>1336</v>
      </c>
      <c r="AO37" s="86">
        <f t="shared" si="280"/>
        <v>38323</v>
      </c>
      <c r="AP37" s="86">
        <f t="shared" si="280"/>
        <v>175384</v>
      </c>
      <c r="AQ37" s="86">
        <f t="shared" si="280"/>
        <v>593</v>
      </c>
      <c r="AR37" s="86">
        <f t="shared" si="280"/>
        <v>-25952</v>
      </c>
      <c r="AS37" s="86">
        <f t="shared" si="280"/>
        <v>5473803</v>
      </c>
      <c r="AT37" s="86">
        <f t="shared" si="280"/>
        <v>28197</v>
      </c>
      <c r="AU37" s="86">
        <f t="shared" si="280"/>
        <v>0</v>
      </c>
      <c r="AV37" s="86">
        <f>SUM(AV32:AV36)</f>
        <v>-56859</v>
      </c>
      <c r="AW37" s="86">
        <f>SUM(AW32:AW36)</f>
        <v>0</v>
      </c>
      <c r="AX37" s="86">
        <f t="shared" si="273"/>
        <v>-20619</v>
      </c>
      <c r="AY37" s="86">
        <f t="shared" si="273"/>
        <v>-452372</v>
      </c>
      <c r="AZ37" s="86">
        <f t="shared" si="273"/>
        <v>2238310</v>
      </c>
      <c r="BA37" s="86">
        <f t="shared" si="273"/>
        <v>-196184</v>
      </c>
      <c r="BB37" s="86">
        <f t="shared" si="273"/>
        <v>0</v>
      </c>
      <c r="BC37" s="86">
        <f t="shared" si="273"/>
        <v>0</v>
      </c>
      <c r="BD37" s="86">
        <f t="shared" si="273"/>
        <v>0</v>
      </c>
      <c r="BE37" s="86">
        <f t="shared" si="273"/>
        <v>0</v>
      </c>
      <c r="BF37" s="86">
        <f>SUM(BF32:BF36)</f>
        <v>0</v>
      </c>
    </row>
    <row r="38" spans="1:58" s="18" customFormat="1" ht="14.1" customHeight="1">
      <c r="A38" s="412">
        <f t="shared" si="53"/>
        <v>32</v>
      </c>
      <c r="B38" s="6"/>
      <c r="C38" s="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</row>
    <row r="39" spans="1:58" s="412" customFormat="1" ht="14.1" customHeight="1">
      <c r="A39" s="412">
        <f t="shared" si="53"/>
        <v>33</v>
      </c>
      <c r="B39" s="117" t="s">
        <v>40</v>
      </c>
      <c r="C39" s="38">
        <f>SUM(D39:BF39)</f>
        <v>-28530646.870000001</v>
      </c>
      <c r="D39" s="43">
        <f>D30-D37</f>
        <v>-3913694</v>
      </c>
      <c r="E39" s="43">
        <f>E30-E37</f>
        <v>-8820982</v>
      </c>
      <c r="F39" s="43">
        <f t="shared" ref="F39" si="281">F30-F37</f>
        <v>8142189</v>
      </c>
      <c r="G39" s="43">
        <f t="shared" ref="G39" si="282">G30-G37</f>
        <v>0</v>
      </c>
      <c r="H39" s="43">
        <f t="shared" ref="H39:BE39" si="283">H30-H37</f>
        <v>-23151347.380000003</v>
      </c>
      <c r="I39" s="43">
        <f>I30-I37</f>
        <v>2817036</v>
      </c>
      <c r="J39" s="43">
        <f>J30-J37</f>
        <v>1360980.3599999999</v>
      </c>
      <c r="K39" s="43">
        <f>K30-K37</f>
        <v>-5603916.6799999997</v>
      </c>
      <c r="L39" s="43">
        <f t="shared" ref="L39" si="284">L30-L37</f>
        <v>-242152</v>
      </c>
      <c r="M39" s="43">
        <f t="shared" ref="M39:AB39" si="285">M30-M37</f>
        <v>-3458849</v>
      </c>
      <c r="N39" s="43">
        <f t="shared" si="285"/>
        <v>0</v>
      </c>
      <c r="O39" s="43">
        <f t="shared" si="285"/>
        <v>0</v>
      </c>
      <c r="P39" s="43">
        <f t="shared" si="285"/>
        <v>627433.14</v>
      </c>
      <c r="Q39" s="43">
        <f t="shared" si="285"/>
        <v>-816179.33000000007</v>
      </c>
      <c r="R39" s="43">
        <f t="shared" si="285"/>
        <v>2725410.33</v>
      </c>
      <c r="S39" s="43">
        <f t="shared" si="285"/>
        <v>-41147</v>
      </c>
      <c r="T39" s="43">
        <f t="shared" si="285"/>
        <v>-364602</v>
      </c>
      <c r="U39" s="43">
        <f t="shared" si="285"/>
        <v>178544</v>
      </c>
      <c r="V39" s="43">
        <f t="shared" si="285"/>
        <v>-230410</v>
      </c>
      <c r="W39" s="43">
        <f t="shared" si="285"/>
        <v>4072</v>
      </c>
      <c r="X39" s="43">
        <f t="shared" si="285"/>
        <v>61453.320000000007</v>
      </c>
      <c r="Y39" s="43">
        <f t="shared" si="285"/>
        <v>24561.97</v>
      </c>
      <c r="Z39" s="43">
        <f t="shared" si="285"/>
        <v>-96641</v>
      </c>
      <c r="AA39" s="43">
        <f t="shared" si="285"/>
        <v>-262617</v>
      </c>
      <c r="AB39" s="43">
        <f t="shared" si="285"/>
        <v>316100.90000000002</v>
      </c>
      <c r="AC39" s="43">
        <f t="shared" ref="AC39" si="286">AC30-AC37</f>
        <v>7036871</v>
      </c>
      <c r="AD39" s="43">
        <f>AD30-AD37</f>
        <v>-539748</v>
      </c>
      <c r="AE39" s="43">
        <f>AE30-AE37</f>
        <v>-2340727</v>
      </c>
      <c r="AF39" s="43">
        <f t="shared" ref="AF39" si="287">AF30-AF37</f>
        <v>-72565</v>
      </c>
      <c r="AG39" s="43">
        <f t="shared" ref="AG39" si="288">AG30-AG37</f>
        <v>-11300</v>
      </c>
      <c r="AH39" s="43">
        <f>AH30-AH37</f>
        <v>20233</v>
      </c>
      <c r="AI39" s="43">
        <f>AI30-AI37</f>
        <v>2474077</v>
      </c>
      <c r="AJ39" s="43">
        <f t="shared" ref="AJ39" si="289">AJ30-AJ37</f>
        <v>9124.67</v>
      </c>
      <c r="AK39" s="43">
        <f t="shared" ref="AK39:AU39" si="290">AK30-AK37</f>
        <v>167842</v>
      </c>
      <c r="AL39" s="43">
        <f t="shared" si="290"/>
        <v>-1390872</v>
      </c>
      <c r="AM39" s="43">
        <f t="shared" si="290"/>
        <v>178416</v>
      </c>
      <c r="AN39" s="43">
        <f t="shared" si="290"/>
        <v>2482</v>
      </c>
      <c r="AO39" s="43">
        <f t="shared" si="290"/>
        <v>71172</v>
      </c>
      <c r="AP39" s="43">
        <f t="shared" si="290"/>
        <v>325712</v>
      </c>
      <c r="AQ39" s="43">
        <f t="shared" si="290"/>
        <v>1102</v>
      </c>
      <c r="AR39" s="43">
        <f t="shared" si="290"/>
        <v>-48197</v>
      </c>
      <c r="AS39" s="43">
        <f t="shared" si="290"/>
        <v>-6449828</v>
      </c>
      <c r="AT39" s="43">
        <f t="shared" si="290"/>
        <v>-28197</v>
      </c>
      <c r="AU39" s="43">
        <f t="shared" si="290"/>
        <v>0</v>
      </c>
      <c r="AV39" s="43">
        <f>AV30-AV37</f>
        <v>-105596</v>
      </c>
      <c r="AW39" s="43">
        <f>AW30-AW37</f>
        <v>0</v>
      </c>
      <c r="AX39" s="43">
        <f t="shared" si="283"/>
        <v>-38292.089999999997</v>
      </c>
      <c r="AY39" s="43">
        <f t="shared" si="283"/>
        <v>-840119</v>
      </c>
      <c r="AZ39" s="43">
        <f t="shared" si="283"/>
        <v>4156861</v>
      </c>
      <c r="BA39" s="43">
        <f t="shared" si="283"/>
        <v>-364342.07999999996</v>
      </c>
      <c r="BB39" s="43">
        <f t="shared" si="283"/>
        <v>0</v>
      </c>
      <c r="BC39" s="43">
        <f t="shared" si="283"/>
        <v>0</v>
      </c>
      <c r="BD39" s="43">
        <f t="shared" si="283"/>
        <v>0</v>
      </c>
      <c r="BE39" s="43">
        <f t="shared" si="283"/>
        <v>0</v>
      </c>
      <c r="BF39" s="43">
        <f>BF30-BF37</f>
        <v>0</v>
      </c>
    </row>
    <row r="40" spans="1:58" s="412" customFormat="1" ht="14.1" customHeight="1">
      <c r="A40" s="412">
        <f t="shared" si="53"/>
        <v>34</v>
      </c>
      <c r="B40" s="140" t="s">
        <v>330</v>
      </c>
      <c r="C40" s="38">
        <f>SUM(D40:BF40)</f>
        <v>431810</v>
      </c>
      <c r="D40" s="64">
        <f>-D477</f>
        <v>0</v>
      </c>
      <c r="E40" s="64">
        <f>-E477</f>
        <v>0</v>
      </c>
      <c r="F40" s="64">
        <f t="shared" ref="F40" si="291">-F477</f>
        <v>0</v>
      </c>
      <c r="G40" s="64">
        <f t="shared" ref="G40" si="292">-G477</f>
        <v>0</v>
      </c>
      <c r="H40" s="64">
        <f t="shared" ref="H40:BE40" si="293">-H477</f>
        <v>0</v>
      </c>
      <c r="I40" s="64">
        <f>-I477</f>
        <v>0</v>
      </c>
      <c r="J40" s="64">
        <f>-J477</f>
        <v>0</v>
      </c>
      <c r="K40" s="64">
        <f>-K477</f>
        <v>0</v>
      </c>
      <c r="L40" s="64">
        <f t="shared" ref="L40" si="294">-L477</f>
        <v>0</v>
      </c>
      <c r="M40" s="64">
        <f t="shared" ref="M40:AB40" si="295">-M477</f>
        <v>0</v>
      </c>
      <c r="N40" s="64">
        <f t="shared" si="295"/>
        <v>0</v>
      </c>
      <c r="O40" s="64">
        <f t="shared" si="295"/>
        <v>0</v>
      </c>
      <c r="P40" s="64">
        <f t="shared" si="295"/>
        <v>0</v>
      </c>
      <c r="Q40" s="64">
        <f t="shared" si="295"/>
        <v>0</v>
      </c>
      <c r="R40" s="64">
        <f t="shared" si="295"/>
        <v>0</v>
      </c>
      <c r="S40" s="64">
        <f t="shared" si="295"/>
        <v>0</v>
      </c>
      <c r="T40" s="64">
        <f t="shared" si="295"/>
        <v>0</v>
      </c>
      <c r="U40" s="64">
        <f t="shared" si="295"/>
        <v>0</v>
      </c>
      <c r="V40" s="64">
        <f t="shared" si="295"/>
        <v>0</v>
      </c>
      <c r="W40" s="64">
        <f t="shared" si="295"/>
        <v>0</v>
      </c>
      <c r="X40" s="64">
        <f t="shared" si="295"/>
        <v>0</v>
      </c>
      <c r="Y40" s="64">
        <f t="shared" si="295"/>
        <v>0</v>
      </c>
      <c r="Z40" s="64">
        <f t="shared" si="295"/>
        <v>0</v>
      </c>
      <c r="AA40" s="64">
        <f t="shared" si="295"/>
        <v>0</v>
      </c>
      <c r="AB40" s="64">
        <f t="shared" si="295"/>
        <v>0</v>
      </c>
      <c r="AC40" s="64">
        <f t="shared" ref="AC40" si="296">-AC477</f>
        <v>0</v>
      </c>
      <c r="AD40" s="64">
        <f>-AD477</f>
        <v>0</v>
      </c>
      <c r="AE40" s="64">
        <f>-AE477</f>
        <v>0</v>
      </c>
      <c r="AF40" s="64">
        <f t="shared" ref="AF40" si="297">-AF477</f>
        <v>0</v>
      </c>
      <c r="AG40" s="64">
        <f t="shared" ref="AG40" si="298">-AG477</f>
        <v>0</v>
      </c>
      <c r="AH40" s="64">
        <f>-AH477</f>
        <v>0</v>
      </c>
      <c r="AI40" s="64">
        <f>-AI477</f>
        <v>0</v>
      </c>
      <c r="AJ40" s="64">
        <f t="shared" ref="AJ40" si="299">-AJ477</f>
        <v>0</v>
      </c>
      <c r="AK40" s="64">
        <f t="shared" ref="AK40:AU40" si="300">-AK477</f>
        <v>0</v>
      </c>
      <c r="AL40" s="64">
        <f t="shared" si="300"/>
        <v>0</v>
      </c>
      <c r="AM40" s="64">
        <f t="shared" si="300"/>
        <v>0</v>
      </c>
      <c r="AN40" s="64">
        <f t="shared" si="300"/>
        <v>0</v>
      </c>
      <c r="AO40" s="64">
        <f t="shared" si="300"/>
        <v>0</v>
      </c>
      <c r="AP40" s="64">
        <f t="shared" si="300"/>
        <v>0</v>
      </c>
      <c r="AQ40" s="64">
        <f t="shared" si="300"/>
        <v>0</v>
      </c>
      <c r="AR40" s="64">
        <f t="shared" si="300"/>
        <v>0</v>
      </c>
      <c r="AS40" s="64">
        <f t="shared" si="300"/>
        <v>0</v>
      </c>
      <c r="AT40" s="64">
        <f t="shared" si="300"/>
        <v>431810</v>
      </c>
      <c r="AU40" s="64">
        <f t="shared" si="300"/>
        <v>0</v>
      </c>
      <c r="AV40" s="64">
        <f>-AV477</f>
        <v>0</v>
      </c>
      <c r="AW40" s="64">
        <f>-AW477</f>
        <v>0</v>
      </c>
      <c r="AX40" s="64">
        <f t="shared" si="293"/>
        <v>0</v>
      </c>
      <c r="AY40" s="64">
        <f t="shared" si="293"/>
        <v>0</v>
      </c>
      <c r="AZ40" s="64">
        <f t="shared" si="293"/>
        <v>0</v>
      </c>
      <c r="BA40" s="64">
        <f t="shared" si="293"/>
        <v>0</v>
      </c>
      <c r="BB40" s="64">
        <f t="shared" si="293"/>
        <v>0</v>
      </c>
      <c r="BC40" s="64">
        <f t="shared" si="293"/>
        <v>0</v>
      </c>
      <c r="BD40" s="64">
        <f t="shared" si="293"/>
        <v>0</v>
      </c>
      <c r="BE40" s="64">
        <f t="shared" si="293"/>
        <v>0</v>
      </c>
      <c r="BF40" s="64">
        <f>-BF477</f>
        <v>0</v>
      </c>
    </row>
    <row r="41" spans="1:58" s="412" customFormat="1" ht="14.1" customHeight="1" thickBot="1">
      <c r="A41" s="412">
        <f t="shared" si="53"/>
        <v>35</v>
      </c>
      <c r="B41" s="4" t="s">
        <v>41</v>
      </c>
      <c r="C41" s="141">
        <f>C40+C39</f>
        <v>-28098836.870000001</v>
      </c>
      <c r="D41" s="141">
        <f>D40+D39</f>
        <v>-3913694</v>
      </c>
      <c r="E41" s="141">
        <f>E40+E39</f>
        <v>-8820982</v>
      </c>
      <c r="F41" s="141">
        <f t="shared" ref="F41" si="301">F40+F39</f>
        <v>8142189</v>
      </c>
      <c r="G41" s="141">
        <f t="shared" ref="G41" si="302">G40+G39</f>
        <v>0</v>
      </c>
      <c r="H41" s="141">
        <f t="shared" ref="H41:BE41" si="303">H40+H39</f>
        <v>-23151347.380000003</v>
      </c>
      <c r="I41" s="141">
        <f>I40+I39</f>
        <v>2817036</v>
      </c>
      <c r="J41" s="141">
        <f>J40+J39</f>
        <v>1360980.3599999999</v>
      </c>
      <c r="K41" s="141">
        <f>K40+K39</f>
        <v>-5603916.6799999997</v>
      </c>
      <c r="L41" s="141">
        <f t="shared" ref="L41" si="304">L40+L39</f>
        <v>-242152</v>
      </c>
      <c r="M41" s="141">
        <f t="shared" ref="M41:AB41" si="305">M40+M39</f>
        <v>-3458849</v>
      </c>
      <c r="N41" s="141">
        <f t="shared" si="305"/>
        <v>0</v>
      </c>
      <c r="O41" s="141">
        <f t="shared" si="305"/>
        <v>0</v>
      </c>
      <c r="P41" s="141">
        <f t="shared" si="305"/>
        <v>627433.14</v>
      </c>
      <c r="Q41" s="141">
        <f t="shared" si="305"/>
        <v>-816179.33000000007</v>
      </c>
      <c r="R41" s="141">
        <f t="shared" si="305"/>
        <v>2725410.33</v>
      </c>
      <c r="S41" s="141">
        <f t="shared" si="305"/>
        <v>-41147</v>
      </c>
      <c r="T41" s="141">
        <f t="shared" si="305"/>
        <v>-364602</v>
      </c>
      <c r="U41" s="141">
        <f t="shared" si="305"/>
        <v>178544</v>
      </c>
      <c r="V41" s="141">
        <f t="shared" si="305"/>
        <v>-230410</v>
      </c>
      <c r="W41" s="141">
        <f t="shared" si="305"/>
        <v>4072</v>
      </c>
      <c r="X41" s="141">
        <f t="shared" si="305"/>
        <v>61453.320000000007</v>
      </c>
      <c r="Y41" s="141">
        <f t="shared" si="305"/>
        <v>24561.97</v>
      </c>
      <c r="Z41" s="141">
        <f t="shared" si="305"/>
        <v>-96641</v>
      </c>
      <c r="AA41" s="141">
        <f t="shared" si="305"/>
        <v>-262617</v>
      </c>
      <c r="AB41" s="141">
        <f t="shared" si="305"/>
        <v>316100.90000000002</v>
      </c>
      <c r="AC41" s="141">
        <f t="shared" ref="AC41" si="306">AC40+AC39</f>
        <v>7036871</v>
      </c>
      <c r="AD41" s="141">
        <f>AD40+AD39</f>
        <v>-539748</v>
      </c>
      <c r="AE41" s="141">
        <f>AE40+AE39</f>
        <v>-2340727</v>
      </c>
      <c r="AF41" s="141">
        <f t="shared" ref="AF41" si="307">AF40+AF39</f>
        <v>-72565</v>
      </c>
      <c r="AG41" s="141">
        <f t="shared" ref="AG41" si="308">AG40+AG39</f>
        <v>-11300</v>
      </c>
      <c r="AH41" s="141">
        <f>AH40+AH39</f>
        <v>20233</v>
      </c>
      <c r="AI41" s="141">
        <f>AI40+AI39</f>
        <v>2474077</v>
      </c>
      <c r="AJ41" s="141">
        <f t="shared" ref="AJ41" si="309">AJ40+AJ39</f>
        <v>9124.67</v>
      </c>
      <c r="AK41" s="141">
        <f t="shared" ref="AK41:AU41" si="310">AK40+AK39</f>
        <v>167842</v>
      </c>
      <c r="AL41" s="141">
        <f t="shared" si="310"/>
        <v>-1390872</v>
      </c>
      <c r="AM41" s="141">
        <f t="shared" si="310"/>
        <v>178416</v>
      </c>
      <c r="AN41" s="141">
        <f t="shared" si="310"/>
        <v>2482</v>
      </c>
      <c r="AO41" s="141">
        <f t="shared" si="310"/>
        <v>71172</v>
      </c>
      <c r="AP41" s="141">
        <f t="shared" si="310"/>
        <v>325712</v>
      </c>
      <c r="AQ41" s="141">
        <f t="shared" si="310"/>
        <v>1102</v>
      </c>
      <c r="AR41" s="141">
        <f t="shared" si="310"/>
        <v>-48197</v>
      </c>
      <c r="AS41" s="141">
        <f t="shared" si="310"/>
        <v>-6449828</v>
      </c>
      <c r="AT41" s="141">
        <f>AT40+AT39</f>
        <v>403613</v>
      </c>
      <c r="AU41" s="141">
        <f t="shared" si="310"/>
        <v>0</v>
      </c>
      <c r="AV41" s="141">
        <f>AV40+AV39</f>
        <v>-105596</v>
      </c>
      <c r="AW41" s="141">
        <f>AW40+AW39</f>
        <v>0</v>
      </c>
      <c r="AX41" s="141">
        <f t="shared" si="303"/>
        <v>-38292.089999999997</v>
      </c>
      <c r="AY41" s="141">
        <f t="shared" si="303"/>
        <v>-840119</v>
      </c>
      <c r="AZ41" s="141">
        <f t="shared" si="303"/>
        <v>4156861</v>
      </c>
      <c r="BA41" s="141">
        <f t="shared" si="303"/>
        <v>-364342.07999999996</v>
      </c>
      <c r="BB41" s="141">
        <f t="shared" si="303"/>
        <v>0</v>
      </c>
      <c r="BC41" s="141">
        <f t="shared" si="303"/>
        <v>0</v>
      </c>
      <c r="BD41" s="141">
        <f t="shared" si="303"/>
        <v>0</v>
      </c>
      <c r="BE41" s="141">
        <f t="shared" si="303"/>
        <v>0</v>
      </c>
      <c r="BF41" s="141">
        <f>BF40+BF39</f>
        <v>0</v>
      </c>
    </row>
    <row r="42" spans="1:58" s="412" customFormat="1" ht="14.1" customHeight="1" thickTop="1">
      <c r="A42" s="412">
        <f t="shared" si="53"/>
        <v>36</v>
      </c>
      <c r="B42" s="117"/>
      <c r="C42" s="117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</row>
    <row r="43" spans="1:58" ht="14.1" customHeight="1">
      <c r="A43" s="412">
        <f t="shared" si="53"/>
        <v>37</v>
      </c>
      <c r="B43" s="89" t="s">
        <v>42</v>
      </c>
      <c r="C43" s="38">
        <f t="shared" ref="C43:C52" si="311">SUM(D43:BF43)</f>
        <v>-323154089</v>
      </c>
      <c r="D43" s="43">
        <f>D171</f>
        <v>0</v>
      </c>
      <c r="E43" s="43">
        <f>E171</f>
        <v>0</v>
      </c>
      <c r="F43" s="43">
        <f t="shared" ref="F43" si="312">F171</f>
        <v>0</v>
      </c>
      <c r="G43" s="43">
        <f t="shared" ref="G43" si="313">G171</f>
        <v>-323154089</v>
      </c>
      <c r="H43" s="43">
        <f t="shared" ref="H43:BE43" si="314">H171</f>
        <v>0</v>
      </c>
      <c r="I43" s="43">
        <f>I171</f>
        <v>0</v>
      </c>
      <c r="J43" s="43">
        <f>J171</f>
        <v>0</v>
      </c>
      <c r="K43" s="43">
        <f>K171</f>
        <v>0</v>
      </c>
      <c r="L43" s="43">
        <f t="shared" ref="L43" si="315">L171</f>
        <v>0</v>
      </c>
      <c r="M43" s="43">
        <f t="shared" ref="M43:AB43" si="316">M171</f>
        <v>0</v>
      </c>
      <c r="N43" s="43">
        <f t="shared" si="316"/>
        <v>0</v>
      </c>
      <c r="O43" s="43">
        <f t="shared" si="316"/>
        <v>0</v>
      </c>
      <c r="P43" s="43">
        <f t="shared" si="316"/>
        <v>0</v>
      </c>
      <c r="Q43" s="43">
        <f t="shared" si="316"/>
        <v>0</v>
      </c>
      <c r="R43" s="43">
        <f t="shared" si="316"/>
        <v>0</v>
      </c>
      <c r="S43" s="43">
        <f t="shared" si="316"/>
        <v>0</v>
      </c>
      <c r="T43" s="43">
        <f t="shared" si="316"/>
        <v>0</v>
      </c>
      <c r="U43" s="43">
        <f t="shared" si="316"/>
        <v>0</v>
      </c>
      <c r="V43" s="43">
        <f t="shared" si="316"/>
        <v>0</v>
      </c>
      <c r="W43" s="43">
        <f t="shared" si="316"/>
        <v>0</v>
      </c>
      <c r="X43" s="43">
        <f t="shared" si="316"/>
        <v>0</v>
      </c>
      <c r="Y43" s="43">
        <f t="shared" si="316"/>
        <v>0</v>
      </c>
      <c r="Z43" s="43">
        <f t="shared" si="316"/>
        <v>0</v>
      </c>
      <c r="AA43" s="43">
        <f t="shared" si="316"/>
        <v>0</v>
      </c>
      <c r="AB43" s="43">
        <f t="shared" si="316"/>
        <v>0</v>
      </c>
      <c r="AC43" s="43">
        <f t="shared" ref="AC43" si="317">AC171</f>
        <v>0</v>
      </c>
      <c r="AD43" s="43">
        <f>AD171</f>
        <v>0</v>
      </c>
      <c r="AE43" s="43">
        <f>AE171</f>
        <v>0</v>
      </c>
      <c r="AF43" s="43">
        <f t="shared" ref="AF43" si="318">AF171</f>
        <v>0</v>
      </c>
      <c r="AG43" s="43">
        <f t="shared" ref="AG43" si="319">AG171</f>
        <v>0</v>
      </c>
      <c r="AH43" s="43">
        <f>AH171</f>
        <v>0</v>
      </c>
      <c r="AI43" s="43">
        <f>AI171</f>
        <v>0</v>
      </c>
      <c r="AJ43" s="43">
        <f t="shared" ref="AJ43" si="320">AJ171</f>
        <v>0</v>
      </c>
      <c r="AK43" s="43">
        <f t="shared" ref="AK43:AU43" si="321">AK171</f>
        <v>0</v>
      </c>
      <c r="AL43" s="43">
        <f t="shared" si="321"/>
        <v>0</v>
      </c>
      <c r="AM43" s="43">
        <f t="shared" si="321"/>
        <v>0</v>
      </c>
      <c r="AN43" s="43">
        <f t="shared" si="321"/>
        <v>0</v>
      </c>
      <c r="AO43" s="43">
        <f t="shared" si="321"/>
        <v>0</v>
      </c>
      <c r="AP43" s="43">
        <f t="shared" si="321"/>
        <v>0</v>
      </c>
      <c r="AQ43" s="43">
        <f t="shared" si="321"/>
        <v>0</v>
      </c>
      <c r="AR43" s="43">
        <f t="shared" si="321"/>
        <v>0</v>
      </c>
      <c r="AS43" s="43">
        <f t="shared" si="321"/>
        <v>0</v>
      </c>
      <c r="AT43" s="43">
        <f t="shared" si="321"/>
        <v>0</v>
      </c>
      <c r="AU43" s="43">
        <f t="shared" si="321"/>
        <v>0</v>
      </c>
      <c r="AV43" s="43">
        <f>AV171</f>
        <v>0</v>
      </c>
      <c r="AW43" s="43">
        <f>AW171</f>
        <v>0</v>
      </c>
      <c r="AX43" s="43">
        <f t="shared" si="314"/>
        <v>0</v>
      </c>
      <c r="AY43" s="43">
        <f t="shared" si="314"/>
        <v>0</v>
      </c>
      <c r="AZ43" s="43">
        <f t="shared" si="314"/>
        <v>0</v>
      </c>
      <c r="BA43" s="43">
        <f t="shared" si="314"/>
        <v>0</v>
      </c>
      <c r="BB43" s="43">
        <f t="shared" si="314"/>
        <v>0</v>
      </c>
      <c r="BC43" s="43">
        <f t="shared" si="314"/>
        <v>0</v>
      </c>
      <c r="BD43" s="43">
        <f t="shared" si="314"/>
        <v>0</v>
      </c>
      <c r="BE43" s="43">
        <f t="shared" si="314"/>
        <v>0</v>
      </c>
      <c r="BF43" s="43">
        <f>BF171</f>
        <v>0</v>
      </c>
    </row>
    <row r="44" spans="1:58" ht="14.1" customHeight="1">
      <c r="A44" s="412">
        <f t="shared" si="53"/>
        <v>38</v>
      </c>
      <c r="B44" s="89" t="s">
        <v>43</v>
      </c>
      <c r="C44" s="38">
        <f t="shared" si="311"/>
        <v>93260268</v>
      </c>
      <c r="D44" s="43">
        <f>-D178-D186-D189</f>
        <v>0</v>
      </c>
      <c r="E44" s="43">
        <f>-E178-E186-E189</f>
        <v>0</v>
      </c>
      <c r="F44" s="43">
        <f t="shared" ref="F44" si="322">-F178-F186-F189</f>
        <v>0</v>
      </c>
      <c r="G44" s="43">
        <f t="shared" ref="G44" si="323">-G178-G186-G189</f>
        <v>93260268</v>
      </c>
      <c r="H44" s="43">
        <f t="shared" ref="H44:BE44" si="324">-H178-H186-H189</f>
        <v>0</v>
      </c>
      <c r="I44" s="43">
        <f>-I178-I186-I189</f>
        <v>0</v>
      </c>
      <c r="J44" s="43">
        <f>-J178-J186-J189</f>
        <v>0</v>
      </c>
      <c r="K44" s="43">
        <f>-K178-K186-K189</f>
        <v>0</v>
      </c>
      <c r="L44" s="43">
        <f t="shared" ref="L44" si="325">-L178-L186-L189</f>
        <v>0</v>
      </c>
      <c r="M44" s="43">
        <f t="shared" ref="M44:AB44" si="326">-M178-M186-M189</f>
        <v>0</v>
      </c>
      <c r="N44" s="43">
        <f t="shared" si="326"/>
        <v>0</v>
      </c>
      <c r="O44" s="43">
        <f t="shared" si="326"/>
        <v>0</v>
      </c>
      <c r="P44" s="43">
        <f t="shared" si="326"/>
        <v>0</v>
      </c>
      <c r="Q44" s="43">
        <f t="shared" si="326"/>
        <v>0</v>
      </c>
      <c r="R44" s="43">
        <f t="shared" si="326"/>
        <v>0</v>
      </c>
      <c r="S44" s="43">
        <f t="shared" si="326"/>
        <v>0</v>
      </c>
      <c r="T44" s="43">
        <f t="shared" si="326"/>
        <v>0</v>
      </c>
      <c r="U44" s="43">
        <f t="shared" si="326"/>
        <v>0</v>
      </c>
      <c r="V44" s="43">
        <f t="shared" si="326"/>
        <v>0</v>
      </c>
      <c r="W44" s="43">
        <f t="shared" si="326"/>
        <v>0</v>
      </c>
      <c r="X44" s="43">
        <f t="shared" si="326"/>
        <v>0</v>
      </c>
      <c r="Y44" s="43">
        <f t="shared" si="326"/>
        <v>0</v>
      </c>
      <c r="Z44" s="43">
        <f t="shared" si="326"/>
        <v>0</v>
      </c>
      <c r="AA44" s="43">
        <f t="shared" si="326"/>
        <v>0</v>
      </c>
      <c r="AB44" s="43">
        <f t="shared" si="326"/>
        <v>0</v>
      </c>
      <c r="AC44" s="43">
        <f t="shared" ref="AC44" si="327">-AC178-AC186-AC189</f>
        <v>0</v>
      </c>
      <c r="AD44" s="43">
        <f>-AD178-AD186-AD189</f>
        <v>0</v>
      </c>
      <c r="AE44" s="43">
        <f>-AE178-AE186-AE189</f>
        <v>0</v>
      </c>
      <c r="AF44" s="43">
        <f t="shared" ref="AF44" si="328">-AF178-AF186-AF189</f>
        <v>0</v>
      </c>
      <c r="AG44" s="43">
        <f t="shared" ref="AG44" si="329">-AG178-AG186-AG189</f>
        <v>0</v>
      </c>
      <c r="AH44" s="43">
        <f>-AH178-AH186-AH189</f>
        <v>0</v>
      </c>
      <c r="AI44" s="43">
        <f>-AI178-AI186-AI189</f>
        <v>0</v>
      </c>
      <c r="AJ44" s="43">
        <f t="shared" ref="AJ44" si="330">-AJ178-AJ186-AJ189</f>
        <v>0</v>
      </c>
      <c r="AK44" s="43">
        <f t="shared" ref="AK44:AU44" si="331">-AK178-AK186-AK189</f>
        <v>0</v>
      </c>
      <c r="AL44" s="43">
        <f t="shared" si="331"/>
        <v>0</v>
      </c>
      <c r="AM44" s="43">
        <f t="shared" si="331"/>
        <v>0</v>
      </c>
      <c r="AN44" s="43">
        <f t="shared" si="331"/>
        <v>0</v>
      </c>
      <c r="AO44" s="43">
        <f t="shared" si="331"/>
        <v>0</v>
      </c>
      <c r="AP44" s="43">
        <f t="shared" si="331"/>
        <v>0</v>
      </c>
      <c r="AQ44" s="43">
        <f t="shared" si="331"/>
        <v>0</v>
      </c>
      <c r="AR44" s="43">
        <f t="shared" si="331"/>
        <v>0</v>
      </c>
      <c r="AS44" s="43">
        <f t="shared" si="331"/>
        <v>0</v>
      </c>
      <c r="AT44" s="43">
        <f t="shared" si="331"/>
        <v>0</v>
      </c>
      <c r="AU44" s="43">
        <f t="shared" si="331"/>
        <v>0</v>
      </c>
      <c r="AV44" s="43">
        <f>-AV178-AV186-AV189</f>
        <v>0</v>
      </c>
      <c r="AW44" s="43">
        <f>-AW178-AW186-AW189</f>
        <v>0</v>
      </c>
      <c r="AX44" s="43">
        <f t="shared" si="324"/>
        <v>0</v>
      </c>
      <c r="AY44" s="43">
        <f t="shared" si="324"/>
        <v>0</v>
      </c>
      <c r="AZ44" s="43">
        <f t="shared" si="324"/>
        <v>0</v>
      </c>
      <c r="BA44" s="43">
        <f t="shared" si="324"/>
        <v>0</v>
      </c>
      <c r="BB44" s="43">
        <f t="shared" si="324"/>
        <v>0</v>
      </c>
      <c r="BC44" s="43">
        <f t="shared" si="324"/>
        <v>0</v>
      </c>
      <c r="BD44" s="43">
        <f t="shared" si="324"/>
        <v>0</v>
      </c>
      <c r="BE44" s="43">
        <f t="shared" si="324"/>
        <v>0</v>
      </c>
      <c r="BF44" s="43">
        <f>-BF178-BF186-BF189</f>
        <v>0</v>
      </c>
    </row>
    <row r="45" spans="1:58" ht="14.1" customHeight="1">
      <c r="A45" s="412">
        <f t="shared" si="53"/>
        <v>39</v>
      </c>
      <c r="B45" s="13" t="s">
        <v>372</v>
      </c>
      <c r="C45" s="38">
        <f t="shared" si="311"/>
        <v>-229893821</v>
      </c>
      <c r="D45" s="38">
        <f t="shared" ref="D45:H45" si="332">SUM(D43:D44)</f>
        <v>0</v>
      </c>
      <c r="E45" s="38">
        <f t="shared" ref="E45" si="333">SUM(E43:E44)</f>
        <v>0</v>
      </c>
      <c r="F45" s="38">
        <f t="shared" ref="F45" si="334">SUM(F43:F44)</f>
        <v>0</v>
      </c>
      <c r="G45" s="38">
        <f t="shared" ref="G45" si="335">SUM(G43:G44)</f>
        <v>-229893821</v>
      </c>
      <c r="H45" s="38">
        <f t="shared" si="332"/>
        <v>0</v>
      </c>
      <c r="I45" s="38">
        <f>SUM(I43:I44)</f>
        <v>0</v>
      </c>
      <c r="J45" s="38">
        <f>SUM(J43:J44)</f>
        <v>0</v>
      </c>
      <c r="K45" s="38">
        <f>SUM(K43:K44)</f>
        <v>0</v>
      </c>
      <c r="L45" s="38">
        <f t="shared" ref="L45" si="336">SUM(L43:L44)</f>
        <v>0</v>
      </c>
      <c r="M45" s="38">
        <f t="shared" ref="M45:AB45" si="337">SUM(M43:M44)</f>
        <v>0</v>
      </c>
      <c r="N45" s="38">
        <f t="shared" si="337"/>
        <v>0</v>
      </c>
      <c r="O45" s="38">
        <f t="shared" si="337"/>
        <v>0</v>
      </c>
      <c r="P45" s="38">
        <f t="shared" si="337"/>
        <v>0</v>
      </c>
      <c r="Q45" s="38">
        <f t="shared" si="337"/>
        <v>0</v>
      </c>
      <c r="R45" s="38">
        <f t="shared" si="337"/>
        <v>0</v>
      </c>
      <c r="S45" s="38">
        <f t="shared" si="337"/>
        <v>0</v>
      </c>
      <c r="T45" s="38">
        <f t="shared" si="337"/>
        <v>0</v>
      </c>
      <c r="U45" s="38">
        <f t="shared" si="337"/>
        <v>0</v>
      </c>
      <c r="V45" s="38">
        <f t="shared" si="337"/>
        <v>0</v>
      </c>
      <c r="W45" s="38">
        <f t="shared" si="337"/>
        <v>0</v>
      </c>
      <c r="X45" s="38">
        <f t="shared" si="337"/>
        <v>0</v>
      </c>
      <c r="Y45" s="38">
        <f t="shared" si="337"/>
        <v>0</v>
      </c>
      <c r="Z45" s="38">
        <f t="shared" si="337"/>
        <v>0</v>
      </c>
      <c r="AA45" s="38">
        <f t="shared" si="337"/>
        <v>0</v>
      </c>
      <c r="AB45" s="38">
        <f t="shared" si="337"/>
        <v>0</v>
      </c>
      <c r="AC45" s="38">
        <f t="shared" ref="AC45" si="338">SUM(AC43:AC44)</f>
        <v>0</v>
      </c>
      <c r="AD45" s="38">
        <f>SUM(AD43:AD44)</f>
        <v>0</v>
      </c>
      <c r="AE45" s="38">
        <f>SUM(AE43:AE44)</f>
        <v>0</v>
      </c>
      <c r="AF45" s="38">
        <f t="shared" ref="AF45" si="339">SUM(AF43:AF44)</f>
        <v>0</v>
      </c>
      <c r="AG45" s="38">
        <f t="shared" ref="AG45" si="340">SUM(AG43:AG44)</f>
        <v>0</v>
      </c>
      <c r="AH45" s="38">
        <f>SUM(AH43:AH44)</f>
        <v>0</v>
      </c>
      <c r="AI45" s="38">
        <f>SUM(AI43:AI44)</f>
        <v>0</v>
      </c>
      <c r="AJ45" s="38">
        <f t="shared" ref="AJ45" si="341">SUM(AJ43:AJ44)</f>
        <v>0</v>
      </c>
      <c r="AK45" s="38">
        <f t="shared" ref="AK45:AU45" si="342">SUM(AK43:AK44)</f>
        <v>0</v>
      </c>
      <c r="AL45" s="38">
        <f t="shared" si="342"/>
        <v>0</v>
      </c>
      <c r="AM45" s="38">
        <f t="shared" si="342"/>
        <v>0</v>
      </c>
      <c r="AN45" s="38">
        <f t="shared" si="342"/>
        <v>0</v>
      </c>
      <c r="AO45" s="38">
        <f t="shared" si="342"/>
        <v>0</v>
      </c>
      <c r="AP45" s="38">
        <f t="shared" si="342"/>
        <v>0</v>
      </c>
      <c r="AQ45" s="38">
        <f t="shared" si="342"/>
        <v>0</v>
      </c>
      <c r="AR45" s="38">
        <f t="shared" si="342"/>
        <v>0</v>
      </c>
      <c r="AS45" s="38">
        <f t="shared" si="342"/>
        <v>0</v>
      </c>
      <c r="AT45" s="38">
        <f t="shared" si="342"/>
        <v>0</v>
      </c>
      <c r="AU45" s="38">
        <f t="shared" si="342"/>
        <v>0</v>
      </c>
      <c r="AV45" s="38">
        <f>SUM(AV43:AV44)</f>
        <v>0</v>
      </c>
      <c r="AW45" s="38">
        <f>SUM(AW43:AW44)</f>
        <v>0</v>
      </c>
      <c r="AX45" s="38">
        <f t="shared" ref="AX45:AY45" si="343">SUM(AX43:AX44)</f>
        <v>0</v>
      </c>
      <c r="AY45" s="38">
        <f t="shared" si="343"/>
        <v>0</v>
      </c>
      <c r="AZ45" s="38">
        <f t="shared" ref="AZ45:BB45" si="344">SUM(AZ43:AZ44)</f>
        <v>0</v>
      </c>
      <c r="BA45" s="38">
        <f t="shared" si="344"/>
        <v>0</v>
      </c>
      <c r="BB45" s="38">
        <f t="shared" si="344"/>
        <v>0</v>
      </c>
      <c r="BC45" s="38">
        <f t="shared" ref="BC45:BE45" si="345">SUM(BC43:BC44)</f>
        <v>0</v>
      </c>
      <c r="BD45" s="38">
        <f t="shared" si="345"/>
        <v>0</v>
      </c>
      <c r="BE45" s="38">
        <f t="shared" si="345"/>
        <v>0</v>
      </c>
      <c r="BF45" s="38">
        <f>SUM(BF43:BF44)</f>
        <v>0</v>
      </c>
    </row>
    <row r="46" spans="1:58" ht="14.1" customHeight="1">
      <c r="A46" s="412">
        <f t="shared" si="53"/>
        <v>40</v>
      </c>
      <c r="B46" s="89" t="s">
        <v>45</v>
      </c>
      <c r="C46" s="38">
        <f t="shared" si="311"/>
        <v>0</v>
      </c>
      <c r="D46" s="43">
        <f>D223</f>
        <v>0</v>
      </c>
      <c r="E46" s="43">
        <f>E223</f>
        <v>0</v>
      </c>
      <c r="F46" s="43">
        <f t="shared" ref="F46" si="346">F223</f>
        <v>0</v>
      </c>
      <c r="G46" s="43">
        <f t="shared" ref="G46" si="347">G223</f>
        <v>0</v>
      </c>
      <c r="H46" s="43">
        <f t="shared" ref="H46:BE46" si="348">H223</f>
        <v>0</v>
      </c>
      <c r="I46" s="43">
        <f>I223</f>
        <v>0</v>
      </c>
      <c r="J46" s="43">
        <f>J223</f>
        <v>0</v>
      </c>
      <c r="K46" s="43">
        <f>K223</f>
        <v>0</v>
      </c>
      <c r="L46" s="43">
        <f t="shared" ref="L46" si="349">L223</f>
        <v>0</v>
      </c>
      <c r="M46" s="43">
        <f t="shared" ref="M46:AB46" si="350">M223</f>
        <v>0</v>
      </c>
      <c r="N46" s="43">
        <f t="shared" si="350"/>
        <v>0</v>
      </c>
      <c r="O46" s="43">
        <f t="shared" si="350"/>
        <v>0</v>
      </c>
      <c r="P46" s="43">
        <f t="shared" si="350"/>
        <v>0</v>
      </c>
      <c r="Q46" s="43">
        <f t="shared" si="350"/>
        <v>0</v>
      </c>
      <c r="R46" s="43">
        <f t="shared" si="350"/>
        <v>0</v>
      </c>
      <c r="S46" s="43">
        <f t="shared" si="350"/>
        <v>0</v>
      </c>
      <c r="T46" s="43">
        <f t="shared" si="350"/>
        <v>0</v>
      </c>
      <c r="U46" s="43">
        <f t="shared" si="350"/>
        <v>0</v>
      </c>
      <c r="V46" s="43">
        <f t="shared" si="350"/>
        <v>0</v>
      </c>
      <c r="W46" s="43">
        <f t="shared" si="350"/>
        <v>0</v>
      </c>
      <c r="X46" s="43">
        <f t="shared" si="350"/>
        <v>0</v>
      </c>
      <c r="Y46" s="43">
        <f t="shared" si="350"/>
        <v>0</v>
      </c>
      <c r="Z46" s="43">
        <f t="shared" si="350"/>
        <v>0</v>
      </c>
      <c r="AA46" s="43">
        <f t="shared" si="350"/>
        <v>0</v>
      </c>
      <c r="AB46" s="43">
        <f t="shared" si="350"/>
        <v>0</v>
      </c>
      <c r="AC46" s="43">
        <f t="shared" ref="AC46" si="351">AC223</f>
        <v>0</v>
      </c>
      <c r="AD46" s="43">
        <f>AD223</f>
        <v>0</v>
      </c>
      <c r="AE46" s="43">
        <f>AE223</f>
        <v>0</v>
      </c>
      <c r="AF46" s="43">
        <f t="shared" ref="AF46" si="352">AF223</f>
        <v>0</v>
      </c>
      <c r="AG46" s="43">
        <f t="shared" ref="AG46" si="353">AG223</f>
        <v>0</v>
      </c>
      <c r="AH46" s="43">
        <f>AH223</f>
        <v>0</v>
      </c>
      <c r="AI46" s="43">
        <f>AI223</f>
        <v>0</v>
      </c>
      <c r="AJ46" s="43">
        <f t="shared" ref="AJ46" si="354">AJ223</f>
        <v>0</v>
      </c>
      <c r="AK46" s="43">
        <f t="shared" ref="AK46:AU46" si="355">AK223</f>
        <v>0</v>
      </c>
      <c r="AL46" s="43">
        <f t="shared" si="355"/>
        <v>0</v>
      </c>
      <c r="AM46" s="43">
        <f t="shared" si="355"/>
        <v>0</v>
      </c>
      <c r="AN46" s="43">
        <f t="shared" si="355"/>
        <v>0</v>
      </c>
      <c r="AO46" s="43">
        <f t="shared" si="355"/>
        <v>0</v>
      </c>
      <c r="AP46" s="43">
        <f t="shared" si="355"/>
        <v>0</v>
      </c>
      <c r="AQ46" s="43">
        <f t="shared" si="355"/>
        <v>0</v>
      </c>
      <c r="AR46" s="43">
        <f t="shared" si="355"/>
        <v>0</v>
      </c>
      <c r="AS46" s="43">
        <f t="shared" si="355"/>
        <v>0</v>
      </c>
      <c r="AT46" s="43">
        <f t="shared" si="355"/>
        <v>0</v>
      </c>
      <c r="AU46" s="43">
        <f t="shared" si="355"/>
        <v>0</v>
      </c>
      <c r="AV46" s="43">
        <f>AV223</f>
        <v>0</v>
      </c>
      <c r="AW46" s="43">
        <f>AW223</f>
        <v>0</v>
      </c>
      <c r="AX46" s="43">
        <f t="shared" si="348"/>
        <v>0</v>
      </c>
      <c r="AY46" s="43">
        <f t="shared" si="348"/>
        <v>0</v>
      </c>
      <c r="AZ46" s="43">
        <f t="shared" si="348"/>
        <v>0</v>
      </c>
      <c r="BA46" s="43">
        <f t="shared" si="348"/>
        <v>0</v>
      </c>
      <c r="BB46" s="43">
        <f t="shared" si="348"/>
        <v>0</v>
      </c>
      <c r="BC46" s="43">
        <f t="shared" si="348"/>
        <v>0</v>
      </c>
      <c r="BD46" s="43">
        <f t="shared" si="348"/>
        <v>0</v>
      </c>
      <c r="BE46" s="43">
        <f t="shared" si="348"/>
        <v>0</v>
      </c>
      <c r="BF46" s="43">
        <f>BF223</f>
        <v>0</v>
      </c>
    </row>
    <row r="47" spans="1:58" ht="14.1" customHeight="1">
      <c r="A47" s="412">
        <f t="shared" si="53"/>
        <v>41</v>
      </c>
      <c r="B47" s="89" t="s">
        <v>373</v>
      </c>
      <c r="C47" s="38">
        <f t="shared" si="311"/>
        <v>0</v>
      </c>
      <c r="D47" s="43">
        <f>D234+D235</f>
        <v>0</v>
      </c>
      <c r="E47" s="43">
        <f>E234+E235</f>
        <v>0</v>
      </c>
      <c r="F47" s="43">
        <f t="shared" ref="F47" si="356">F234+F235</f>
        <v>0</v>
      </c>
      <c r="G47" s="43">
        <f t="shared" ref="G47" si="357">G234+G235</f>
        <v>0</v>
      </c>
      <c r="H47" s="43">
        <f t="shared" ref="H47:BE47" si="358">H234+H235</f>
        <v>0</v>
      </c>
      <c r="I47" s="43">
        <f>I234+I235</f>
        <v>0</v>
      </c>
      <c r="J47" s="43">
        <f>J234+J235</f>
        <v>0</v>
      </c>
      <c r="K47" s="43">
        <f>K234+K235</f>
        <v>0</v>
      </c>
      <c r="L47" s="43">
        <f t="shared" ref="L47" si="359">L234+L235</f>
        <v>0</v>
      </c>
      <c r="M47" s="43">
        <f t="shared" ref="M47:AB47" si="360">M234+M235</f>
        <v>0</v>
      </c>
      <c r="N47" s="43">
        <f t="shared" si="360"/>
        <v>0</v>
      </c>
      <c r="O47" s="43">
        <f t="shared" si="360"/>
        <v>0</v>
      </c>
      <c r="P47" s="43">
        <f t="shared" si="360"/>
        <v>0</v>
      </c>
      <c r="Q47" s="43">
        <f t="shared" si="360"/>
        <v>0</v>
      </c>
      <c r="R47" s="43">
        <f t="shared" si="360"/>
        <v>0</v>
      </c>
      <c r="S47" s="43">
        <f t="shared" si="360"/>
        <v>0</v>
      </c>
      <c r="T47" s="43">
        <f t="shared" si="360"/>
        <v>0</v>
      </c>
      <c r="U47" s="43">
        <f t="shared" si="360"/>
        <v>0</v>
      </c>
      <c r="V47" s="43">
        <f t="shared" si="360"/>
        <v>0</v>
      </c>
      <c r="W47" s="43">
        <f t="shared" si="360"/>
        <v>0</v>
      </c>
      <c r="X47" s="43">
        <f t="shared" si="360"/>
        <v>0</v>
      </c>
      <c r="Y47" s="43">
        <f t="shared" si="360"/>
        <v>0</v>
      </c>
      <c r="Z47" s="43">
        <f t="shared" si="360"/>
        <v>0</v>
      </c>
      <c r="AA47" s="43">
        <f t="shared" si="360"/>
        <v>0</v>
      </c>
      <c r="AB47" s="43">
        <f t="shared" si="360"/>
        <v>0</v>
      </c>
      <c r="AC47" s="43">
        <f t="shared" ref="AC47" si="361">AC234+AC235</f>
        <v>0</v>
      </c>
      <c r="AD47" s="43">
        <f>AD234+AD235</f>
        <v>0</v>
      </c>
      <c r="AE47" s="43">
        <f>AE234+AE235</f>
        <v>0</v>
      </c>
      <c r="AF47" s="43">
        <f t="shared" ref="AF47" si="362">AF234+AF235</f>
        <v>0</v>
      </c>
      <c r="AG47" s="43">
        <f t="shared" ref="AG47" si="363">AG234+AG235</f>
        <v>0</v>
      </c>
      <c r="AH47" s="43">
        <f>AH234+AH235</f>
        <v>0</v>
      </c>
      <c r="AI47" s="43">
        <f>AI234+AI235</f>
        <v>0</v>
      </c>
      <c r="AJ47" s="43">
        <f t="shared" ref="AJ47" si="364">AJ234+AJ235</f>
        <v>0</v>
      </c>
      <c r="AK47" s="43">
        <f t="shared" ref="AK47:AU47" si="365">AK234+AK235</f>
        <v>0</v>
      </c>
      <c r="AL47" s="43">
        <f t="shared" si="365"/>
        <v>0</v>
      </c>
      <c r="AM47" s="43">
        <f t="shared" si="365"/>
        <v>0</v>
      </c>
      <c r="AN47" s="43">
        <f t="shared" si="365"/>
        <v>0</v>
      </c>
      <c r="AO47" s="43">
        <f t="shared" si="365"/>
        <v>0</v>
      </c>
      <c r="AP47" s="43">
        <f t="shared" si="365"/>
        <v>0</v>
      </c>
      <c r="AQ47" s="43">
        <f t="shared" si="365"/>
        <v>0</v>
      </c>
      <c r="AR47" s="43">
        <f t="shared" si="365"/>
        <v>0</v>
      </c>
      <c r="AS47" s="43">
        <f t="shared" si="365"/>
        <v>0</v>
      </c>
      <c r="AT47" s="43">
        <f t="shared" si="365"/>
        <v>0</v>
      </c>
      <c r="AU47" s="43">
        <f t="shared" si="365"/>
        <v>0</v>
      </c>
      <c r="AV47" s="43">
        <f>AV234+AV235</f>
        <v>0</v>
      </c>
      <c r="AW47" s="43">
        <f>AW234+AW235</f>
        <v>0</v>
      </c>
      <c r="AX47" s="43">
        <f t="shared" si="358"/>
        <v>0</v>
      </c>
      <c r="AY47" s="43">
        <f t="shared" si="358"/>
        <v>0</v>
      </c>
      <c r="AZ47" s="43">
        <f t="shared" si="358"/>
        <v>0</v>
      </c>
      <c r="BA47" s="43">
        <f t="shared" si="358"/>
        <v>0</v>
      </c>
      <c r="BB47" s="43">
        <f t="shared" si="358"/>
        <v>0</v>
      </c>
      <c r="BC47" s="43">
        <f t="shared" si="358"/>
        <v>0</v>
      </c>
      <c r="BD47" s="43">
        <f t="shared" si="358"/>
        <v>0</v>
      </c>
      <c r="BE47" s="43">
        <f t="shared" si="358"/>
        <v>0</v>
      </c>
      <c r="BF47" s="43">
        <f>BF234+BF235</f>
        <v>0</v>
      </c>
    </row>
    <row r="48" spans="1:58" ht="14.1" customHeight="1">
      <c r="A48" s="412">
        <f t="shared" si="53"/>
        <v>42</v>
      </c>
      <c r="B48" s="89" t="s">
        <v>374</v>
      </c>
      <c r="C48" s="38">
        <f t="shared" si="311"/>
        <v>-8319303</v>
      </c>
      <c r="D48" s="43">
        <f>SUM(D226:D230)</f>
        <v>0</v>
      </c>
      <c r="E48" s="43">
        <f>SUM(E226:E230)</f>
        <v>0</v>
      </c>
      <c r="F48" s="43">
        <f t="shared" ref="F48" si="366">SUM(F226:F230)</f>
        <v>0</v>
      </c>
      <c r="G48" s="43">
        <f t="shared" ref="G48" si="367">SUM(G226:G230)</f>
        <v>-1610192</v>
      </c>
      <c r="H48" s="43">
        <f t="shared" ref="H48:BE48" si="368">SUM(H226:H230)</f>
        <v>0</v>
      </c>
      <c r="I48" s="43">
        <f>SUM(I226:I230)</f>
        <v>0</v>
      </c>
      <c r="J48" s="43">
        <f>SUM(J226:J230)</f>
        <v>0</v>
      </c>
      <c r="K48" s="43">
        <f>SUM(K226:K230)</f>
        <v>0</v>
      </c>
      <c r="L48" s="43">
        <f t="shared" ref="L48" si="369">SUM(L226:L230)</f>
        <v>0</v>
      </c>
      <c r="M48" s="43">
        <f t="shared" ref="M48:AB48" si="370">SUM(M226:M230)</f>
        <v>0</v>
      </c>
      <c r="N48" s="43">
        <f t="shared" si="370"/>
        <v>0</v>
      </c>
      <c r="O48" s="43">
        <f t="shared" si="370"/>
        <v>0</v>
      </c>
      <c r="P48" s="43">
        <f t="shared" si="370"/>
        <v>0</v>
      </c>
      <c r="Q48" s="43">
        <f t="shared" si="370"/>
        <v>0</v>
      </c>
      <c r="R48" s="43">
        <f t="shared" si="370"/>
        <v>0</v>
      </c>
      <c r="S48" s="43">
        <f t="shared" si="370"/>
        <v>0</v>
      </c>
      <c r="T48" s="43">
        <f t="shared" si="370"/>
        <v>0</v>
      </c>
      <c r="U48" s="43">
        <f t="shared" si="370"/>
        <v>0</v>
      </c>
      <c r="V48" s="43">
        <f t="shared" si="370"/>
        <v>0</v>
      </c>
      <c r="W48" s="43">
        <f t="shared" si="370"/>
        <v>0</v>
      </c>
      <c r="X48" s="43">
        <f t="shared" si="370"/>
        <v>0</v>
      </c>
      <c r="Y48" s="43">
        <f t="shared" si="370"/>
        <v>0</v>
      </c>
      <c r="Z48" s="43">
        <f t="shared" si="370"/>
        <v>0</v>
      </c>
      <c r="AA48" s="43">
        <f t="shared" si="370"/>
        <v>0</v>
      </c>
      <c r="AB48" s="43">
        <f t="shared" si="370"/>
        <v>0</v>
      </c>
      <c r="AC48" s="43">
        <f t="shared" ref="AC48" si="371">SUM(AC226:AC230)</f>
        <v>0</v>
      </c>
      <c r="AD48" s="43">
        <f>SUM(AD226:AD230)</f>
        <v>0</v>
      </c>
      <c r="AE48" s="43">
        <f>SUM(AE226:AE230)</f>
        <v>0</v>
      </c>
      <c r="AF48" s="43">
        <f t="shared" ref="AF48" si="372">SUM(AF226:AF230)</f>
        <v>0</v>
      </c>
      <c r="AG48" s="43">
        <f t="shared" ref="AG48" si="373">SUM(AG226:AG230)</f>
        <v>0</v>
      </c>
      <c r="AH48" s="43">
        <f>SUM(AH226:AH230)</f>
        <v>0</v>
      </c>
      <c r="AI48" s="43">
        <f>SUM(AI226:AI230)</f>
        <v>0</v>
      </c>
      <c r="AJ48" s="43">
        <f t="shared" ref="AJ48" si="374">SUM(AJ226:AJ230)</f>
        <v>0</v>
      </c>
      <c r="AK48" s="43">
        <f t="shared" ref="AK48:AU48" si="375">SUM(AK226:AK230)</f>
        <v>0</v>
      </c>
      <c r="AL48" s="43">
        <f t="shared" si="375"/>
        <v>0</v>
      </c>
      <c r="AM48" s="43">
        <f t="shared" si="375"/>
        <v>0</v>
      </c>
      <c r="AN48" s="43">
        <f t="shared" si="375"/>
        <v>0</v>
      </c>
      <c r="AO48" s="43">
        <f t="shared" si="375"/>
        <v>0</v>
      </c>
      <c r="AP48" s="43">
        <f t="shared" si="375"/>
        <v>0</v>
      </c>
      <c r="AQ48" s="43">
        <f t="shared" si="375"/>
        <v>0</v>
      </c>
      <c r="AR48" s="43">
        <f t="shared" si="375"/>
        <v>0</v>
      </c>
      <c r="AS48" s="43">
        <f t="shared" si="375"/>
        <v>0</v>
      </c>
      <c r="AT48" s="43">
        <f t="shared" si="375"/>
        <v>0</v>
      </c>
      <c r="AU48" s="43">
        <f t="shared" si="375"/>
        <v>-6709111</v>
      </c>
      <c r="AV48" s="43">
        <f>SUM(AV226:AV230)</f>
        <v>0</v>
      </c>
      <c r="AW48" s="43">
        <f>SUM(AW226:AW230)</f>
        <v>0</v>
      </c>
      <c r="AX48" s="43">
        <f t="shared" si="368"/>
        <v>0</v>
      </c>
      <c r="AY48" s="43">
        <f t="shared" si="368"/>
        <v>0</v>
      </c>
      <c r="AZ48" s="43">
        <f t="shared" si="368"/>
        <v>0</v>
      </c>
      <c r="BA48" s="43">
        <f t="shared" si="368"/>
        <v>0</v>
      </c>
      <c r="BB48" s="43">
        <f t="shared" si="368"/>
        <v>0</v>
      </c>
      <c r="BC48" s="43">
        <f t="shared" si="368"/>
        <v>0</v>
      </c>
      <c r="BD48" s="43">
        <f t="shared" si="368"/>
        <v>0</v>
      </c>
      <c r="BE48" s="43">
        <f t="shared" si="368"/>
        <v>0</v>
      </c>
      <c r="BF48" s="43">
        <f>SUM(BF226:BF230)</f>
        <v>0</v>
      </c>
    </row>
    <row r="49" spans="1:58" ht="14.1" customHeight="1">
      <c r="A49" s="412">
        <f t="shared" si="53"/>
        <v>43</v>
      </c>
      <c r="B49" s="89" t="s">
        <v>375</v>
      </c>
      <c r="C49" s="38">
        <f t="shared" si="311"/>
        <v>-3902427.8275000006</v>
      </c>
      <c r="D49" s="43">
        <f>D434</f>
        <v>0</v>
      </c>
      <c r="E49" s="43">
        <f>E434</f>
        <v>6.625</v>
      </c>
      <c r="F49" s="43">
        <f t="shared" ref="F49" si="376">F434</f>
        <v>-490964.5</v>
      </c>
      <c r="G49" s="43">
        <f t="shared" ref="G49" si="377">G434</f>
        <v>0</v>
      </c>
      <c r="H49" s="43">
        <f t="shared" ref="H49:BE49" si="378">H434</f>
        <v>-83425.372499999998</v>
      </c>
      <c r="I49" s="43">
        <f>I434</f>
        <v>-627885.125</v>
      </c>
      <c r="J49" s="43">
        <f>J434</f>
        <v>276492.70500000002</v>
      </c>
      <c r="K49" s="43">
        <f>K434</f>
        <v>21734.334999999999</v>
      </c>
      <c r="L49" s="43">
        <f t="shared" ref="L49" si="379">L434</f>
        <v>46567.75</v>
      </c>
      <c r="M49" s="43">
        <f t="shared" ref="M49:AB49" si="380">M434</f>
        <v>-882523.625</v>
      </c>
      <c r="N49" s="43">
        <f t="shared" si="380"/>
        <v>-30846.5</v>
      </c>
      <c r="O49" s="43">
        <f t="shared" si="380"/>
        <v>-37876.375</v>
      </c>
      <c r="P49" s="43">
        <f t="shared" si="380"/>
        <v>0</v>
      </c>
      <c r="Q49" s="43">
        <f t="shared" si="380"/>
        <v>-241455.25</v>
      </c>
      <c r="R49" s="43">
        <f t="shared" si="380"/>
        <v>733875</v>
      </c>
      <c r="S49" s="43">
        <f t="shared" si="380"/>
        <v>0</v>
      </c>
      <c r="T49" s="43">
        <f t="shared" si="380"/>
        <v>74491.5</v>
      </c>
      <c r="U49" s="43">
        <f t="shared" si="380"/>
        <v>-43301</v>
      </c>
      <c r="V49" s="43">
        <f t="shared" si="380"/>
        <v>47074.875</v>
      </c>
      <c r="W49" s="43">
        <f t="shared" si="380"/>
        <v>-832</v>
      </c>
      <c r="X49" s="43">
        <f t="shared" si="380"/>
        <v>-12555.54</v>
      </c>
      <c r="Y49" s="43">
        <f t="shared" si="380"/>
        <v>-5018.2462500000001</v>
      </c>
      <c r="Z49" s="43">
        <f t="shared" si="380"/>
        <v>18584.875</v>
      </c>
      <c r="AA49" s="43">
        <f t="shared" si="380"/>
        <v>53655.125</v>
      </c>
      <c r="AB49" s="43">
        <f t="shared" si="380"/>
        <v>-106020.625</v>
      </c>
      <c r="AC49" s="43">
        <f t="shared" ref="AC49" si="381">AC434</f>
        <v>-1437698</v>
      </c>
      <c r="AD49" s="43">
        <f>AD434</f>
        <v>110275.5</v>
      </c>
      <c r="AE49" s="43">
        <f>AE434</f>
        <v>66094.25</v>
      </c>
      <c r="AF49" s="43">
        <f t="shared" ref="AF49" si="382">AF434</f>
        <v>14825.75</v>
      </c>
      <c r="AG49" s="43">
        <f t="shared" ref="AG49" si="383">AG434</f>
        <v>0</v>
      </c>
      <c r="AH49" s="43">
        <f>AH434</f>
        <v>-4429.125</v>
      </c>
      <c r="AI49" s="43">
        <f>AI434</f>
        <v>-497407.875</v>
      </c>
      <c r="AJ49" s="43">
        <f t="shared" ref="AJ49" si="384">AJ434</f>
        <v>-1864.20875</v>
      </c>
      <c r="AK49" s="43">
        <f t="shared" ref="AK49:AU49" si="385">AK434</f>
        <v>-34291.75</v>
      </c>
      <c r="AL49" s="43">
        <f t="shared" si="385"/>
        <v>0</v>
      </c>
      <c r="AM49" s="43">
        <f t="shared" si="385"/>
        <v>0</v>
      </c>
      <c r="AN49" s="43">
        <f t="shared" si="385"/>
        <v>0</v>
      </c>
      <c r="AO49" s="43">
        <f t="shared" si="385"/>
        <v>0</v>
      </c>
      <c r="AP49" s="43">
        <f t="shared" si="385"/>
        <v>0</v>
      </c>
      <c r="AQ49" s="43">
        <f t="shared" si="385"/>
        <v>0</v>
      </c>
      <c r="AR49" s="43">
        <f t="shared" si="385"/>
        <v>0</v>
      </c>
      <c r="AS49" s="43">
        <f t="shared" si="385"/>
        <v>0</v>
      </c>
      <c r="AT49" s="43">
        <f t="shared" si="385"/>
        <v>0</v>
      </c>
      <c r="AU49" s="43">
        <f t="shared" si="385"/>
        <v>0</v>
      </c>
      <c r="AV49" s="43">
        <f>AV434</f>
        <v>21574.25</v>
      </c>
      <c r="AW49" s="43">
        <f>AW434</f>
        <v>0</v>
      </c>
      <c r="AX49" s="43">
        <f t="shared" si="378"/>
        <v>0</v>
      </c>
      <c r="AY49" s="43">
        <f t="shared" si="378"/>
        <v>0</v>
      </c>
      <c r="AZ49" s="43">
        <f t="shared" si="378"/>
        <v>-849285.25</v>
      </c>
      <c r="BA49" s="43">
        <f t="shared" si="378"/>
        <v>0</v>
      </c>
      <c r="BB49" s="43">
        <f t="shared" si="378"/>
        <v>0</v>
      </c>
      <c r="BC49" s="43">
        <f t="shared" si="378"/>
        <v>0</v>
      </c>
      <c r="BD49" s="43">
        <f t="shared" si="378"/>
        <v>0</v>
      </c>
      <c r="BE49" s="43">
        <f t="shared" si="378"/>
        <v>0</v>
      </c>
      <c r="BF49" s="43">
        <f>BF434</f>
        <v>0</v>
      </c>
    </row>
    <row r="50" spans="1:58" ht="14.1" customHeight="1">
      <c r="A50" s="412">
        <f t="shared" si="53"/>
        <v>44</v>
      </c>
      <c r="B50" s="89" t="s">
        <v>44</v>
      </c>
      <c r="C50" s="38">
        <f t="shared" si="311"/>
        <v>0</v>
      </c>
      <c r="D50" s="43">
        <f>D200+D204+D208+D212</f>
        <v>0</v>
      </c>
      <c r="E50" s="43">
        <f>E200+E204+E208+E212</f>
        <v>0</v>
      </c>
      <c r="F50" s="43">
        <f t="shared" ref="F50" si="386">F200+F204+F208+F212</f>
        <v>0</v>
      </c>
      <c r="G50" s="43">
        <f t="shared" ref="G50" si="387">G200+G204+G208+G212</f>
        <v>0</v>
      </c>
      <c r="H50" s="43">
        <f t="shared" ref="H50:BE50" si="388">H200+H204+H208+H212</f>
        <v>0</v>
      </c>
      <c r="I50" s="43">
        <f>I200+I204+I208+I212</f>
        <v>0</v>
      </c>
      <c r="J50" s="43">
        <f>J200+J204+J208+J212</f>
        <v>0</v>
      </c>
      <c r="K50" s="43">
        <f>K200+K204+K208+K212</f>
        <v>0</v>
      </c>
      <c r="L50" s="43">
        <f t="shared" ref="L50" si="389">L200+L204+L208+L212</f>
        <v>0</v>
      </c>
      <c r="M50" s="43">
        <f t="shared" ref="M50:AB50" si="390">M200+M204+M208+M212</f>
        <v>0</v>
      </c>
      <c r="N50" s="43">
        <f t="shared" si="390"/>
        <v>0</v>
      </c>
      <c r="O50" s="43">
        <f t="shared" si="390"/>
        <v>0</v>
      </c>
      <c r="P50" s="43">
        <f t="shared" si="390"/>
        <v>0</v>
      </c>
      <c r="Q50" s="43">
        <f t="shared" si="390"/>
        <v>0</v>
      </c>
      <c r="R50" s="43">
        <f t="shared" si="390"/>
        <v>0</v>
      </c>
      <c r="S50" s="43">
        <f t="shared" si="390"/>
        <v>0</v>
      </c>
      <c r="T50" s="43">
        <f t="shared" si="390"/>
        <v>0</v>
      </c>
      <c r="U50" s="43">
        <f t="shared" si="390"/>
        <v>0</v>
      </c>
      <c r="V50" s="43">
        <f t="shared" si="390"/>
        <v>0</v>
      </c>
      <c r="W50" s="43">
        <f t="shared" si="390"/>
        <v>0</v>
      </c>
      <c r="X50" s="43">
        <f t="shared" si="390"/>
        <v>0</v>
      </c>
      <c r="Y50" s="43">
        <f t="shared" si="390"/>
        <v>0</v>
      </c>
      <c r="Z50" s="43">
        <f t="shared" si="390"/>
        <v>0</v>
      </c>
      <c r="AA50" s="43">
        <f t="shared" si="390"/>
        <v>0</v>
      </c>
      <c r="AB50" s="43">
        <f t="shared" si="390"/>
        <v>0</v>
      </c>
      <c r="AC50" s="43">
        <f t="shared" ref="AC50" si="391">AC200+AC204+AC208+AC212</f>
        <v>0</v>
      </c>
      <c r="AD50" s="43">
        <f>AD200+AD204+AD208+AD212</f>
        <v>0</v>
      </c>
      <c r="AE50" s="43">
        <f>AE200+AE204+AE208+AE212</f>
        <v>0</v>
      </c>
      <c r="AF50" s="43">
        <f t="shared" ref="AF50" si="392">AF200+AF204+AF208+AF212</f>
        <v>0</v>
      </c>
      <c r="AG50" s="43">
        <f t="shared" ref="AG50" si="393">AG200+AG204+AG208+AG212</f>
        <v>0</v>
      </c>
      <c r="AH50" s="43">
        <f>AH200+AH204+AH208+AH212</f>
        <v>0</v>
      </c>
      <c r="AI50" s="43">
        <f>AI200+AI204+AI208+AI212</f>
        <v>0</v>
      </c>
      <c r="AJ50" s="43">
        <f t="shared" ref="AJ50" si="394">AJ200+AJ204+AJ208+AJ212</f>
        <v>0</v>
      </c>
      <c r="AK50" s="43">
        <f t="shared" ref="AK50:AU50" si="395">AK200+AK204+AK208+AK212</f>
        <v>0</v>
      </c>
      <c r="AL50" s="43">
        <f t="shared" si="395"/>
        <v>0</v>
      </c>
      <c r="AM50" s="43">
        <f t="shared" si="395"/>
        <v>0</v>
      </c>
      <c r="AN50" s="43">
        <f t="shared" si="395"/>
        <v>0</v>
      </c>
      <c r="AO50" s="43">
        <f t="shared" si="395"/>
        <v>0</v>
      </c>
      <c r="AP50" s="43">
        <f t="shared" si="395"/>
        <v>0</v>
      </c>
      <c r="AQ50" s="43">
        <f t="shared" si="395"/>
        <v>0</v>
      </c>
      <c r="AR50" s="43">
        <f t="shared" si="395"/>
        <v>0</v>
      </c>
      <c r="AS50" s="43">
        <f t="shared" si="395"/>
        <v>0</v>
      </c>
      <c r="AT50" s="43">
        <f t="shared" si="395"/>
        <v>0</v>
      </c>
      <c r="AU50" s="43">
        <f t="shared" si="395"/>
        <v>0</v>
      </c>
      <c r="AV50" s="43">
        <f>AV200+AV204+AV208+AV212</f>
        <v>0</v>
      </c>
      <c r="AW50" s="43">
        <f>AW200+AW204+AW208+AW212</f>
        <v>0</v>
      </c>
      <c r="AX50" s="43">
        <f t="shared" si="388"/>
        <v>0</v>
      </c>
      <c r="AY50" s="43">
        <f t="shared" si="388"/>
        <v>0</v>
      </c>
      <c r="AZ50" s="43">
        <f t="shared" si="388"/>
        <v>0</v>
      </c>
      <c r="BA50" s="43">
        <f t="shared" si="388"/>
        <v>0</v>
      </c>
      <c r="BB50" s="43">
        <f t="shared" si="388"/>
        <v>0</v>
      </c>
      <c r="BC50" s="43">
        <f t="shared" si="388"/>
        <v>0</v>
      </c>
      <c r="BD50" s="43">
        <f t="shared" si="388"/>
        <v>0</v>
      </c>
      <c r="BE50" s="43">
        <f t="shared" si="388"/>
        <v>0</v>
      </c>
      <c r="BF50" s="43">
        <f>BF200+BF204+BF208+BF212</f>
        <v>0</v>
      </c>
    </row>
    <row r="51" spans="1:58" ht="14.1" customHeight="1">
      <c r="A51" s="412">
        <f t="shared" si="53"/>
        <v>45</v>
      </c>
      <c r="B51" s="89" t="s">
        <v>377</v>
      </c>
      <c r="C51" s="38">
        <f t="shared" si="311"/>
        <v>0</v>
      </c>
      <c r="D51" s="43">
        <f>(D243+D244)</f>
        <v>0</v>
      </c>
      <c r="E51" s="43">
        <f>(E243+E244)</f>
        <v>0</v>
      </c>
      <c r="F51" s="43">
        <f t="shared" ref="F51" si="396">(F243+F244)</f>
        <v>0</v>
      </c>
      <c r="G51" s="43">
        <f t="shared" ref="G51" si="397">(G243+G244)</f>
        <v>0</v>
      </c>
      <c r="H51" s="43">
        <f t="shared" ref="H51" si="398">(H243+H244)</f>
        <v>0</v>
      </c>
      <c r="I51" s="43">
        <f>(I243+I244)</f>
        <v>0</v>
      </c>
      <c r="J51" s="43">
        <f>(J243+J244)</f>
        <v>0</v>
      </c>
      <c r="K51" s="43">
        <f>(K243+K244)</f>
        <v>0</v>
      </c>
      <c r="L51" s="43">
        <f t="shared" ref="L51" si="399">(L243+L244)</f>
        <v>0</v>
      </c>
      <c r="M51" s="43">
        <f t="shared" ref="M51:AB51" si="400">(M243+M244)</f>
        <v>0</v>
      </c>
      <c r="N51" s="43">
        <f t="shared" si="400"/>
        <v>0</v>
      </c>
      <c r="O51" s="43">
        <f t="shared" si="400"/>
        <v>0</v>
      </c>
      <c r="P51" s="43">
        <f t="shared" si="400"/>
        <v>0</v>
      </c>
      <c r="Q51" s="43">
        <f t="shared" si="400"/>
        <v>0</v>
      </c>
      <c r="R51" s="43">
        <f t="shared" si="400"/>
        <v>0</v>
      </c>
      <c r="S51" s="43">
        <f t="shared" si="400"/>
        <v>0</v>
      </c>
      <c r="T51" s="43">
        <f t="shared" si="400"/>
        <v>0</v>
      </c>
      <c r="U51" s="43">
        <f t="shared" si="400"/>
        <v>0</v>
      </c>
      <c r="V51" s="43">
        <f t="shared" si="400"/>
        <v>0</v>
      </c>
      <c r="W51" s="43">
        <f t="shared" si="400"/>
        <v>0</v>
      </c>
      <c r="X51" s="43">
        <f t="shared" si="400"/>
        <v>0</v>
      </c>
      <c r="Y51" s="43">
        <f t="shared" si="400"/>
        <v>0</v>
      </c>
      <c r="Z51" s="43">
        <f t="shared" si="400"/>
        <v>0</v>
      </c>
      <c r="AA51" s="43">
        <f t="shared" si="400"/>
        <v>0</v>
      </c>
      <c r="AB51" s="43">
        <f t="shared" si="400"/>
        <v>0</v>
      </c>
      <c r="AC51" s="43">
        <f t="shared" ref="AC51" si="401">(AC243+AC244)</f>
        <v>0</v>
      </c>
      <c r="AD51" s="43">
        <f>(AD243+AD244)</f>
        <v>0</v>
      </c>
      <c r="AE51" s="43">
        <f>(AE243+AE244)</f>
        <v>0</v>
      </c>
      <c r="AF51" s="43">
        <f t="shared" ref="AF51" si="402">(AF243+AF244)</f>
        <v>0</v>
      </c>
      <c r="AG51" s="43">
        <f t="shared" ref="AG51" si="403">(AG243+AG244)</f>
        <v>0</v>
      </c>
      <c r="AH51" s="43">
        <f>(AH243+AH244)</f>
        <v>0</v>
      </c>
      <c r="AI51" s="43">
        <f>(AI243+AI244)</f>
        <v>0</v>
      </c>
      <c r="AJ51" s="43">
        <f t="shared" ref="AJ51" si="404">(AJ243+AJ244)</f>
        <v>0</v>
      </c>
      <c r="AK51" s="43">
        <f t="shared" ref="AK51:AU51" si="405">(AK243+AK244)</f>
        <v>0</v>
      </c>
      <c r="AL51" s="43">
        <f t="shared" si="405"/>
        <v>0</v>
      </c>
      <c r="AM51" s="43">
        <f t="shared" si="405"/>
        <v>0</v>
      </c>
      <c r="AN51" s="43">
        <f t="shared" si="405"/>
        <v>0</v>
      </c>
      <c r="AO51" s="43">
        <f t="shared" si="405"/>
        <v>0</v>
      </c>
      <c r="AP51" s="43">
        <f t="shared" si="405"/>
        <v>0</v>
      </c>
      <c r="AQ51" s="43">
        <f t="shared" si="405"/>
        <v>0</v>
      </c>
      <c r="AR51" s="43">
        <f t="shared" si="405"/>
        <v>0</v>
      </c>
      <c r="AS51" s="43">
        <f t="shared" si="405"/>
        <v>0</v>
      </c>
      <c r="AT51" s="43">
        <f t="shared" si="405"/>
        <v>0</v>
      </c>
      <c r="AU51" s="43">
        <f t="shared" si="405"/>
        <v>0</v>
      </c>
      <c r="AV51" s="43">
        <f>(AV243+AV244)</f>
        <v>0</v>
      </c>
      <c r="AW51" s="43">
        <f>(AW243+AW244)</f>
        <v>0</v>
      </c>
      <c r="AX51" s="43">
        <f t="shared" ref="AX51:BE51" si="406">(AX243+AX244)</f>
        <v>0</v>
      </c>
      <c r="AY51" s="43">
        <f t="shared" si="406"/>
        <v>0</v>
      </c>
      <c r="AZ51" s="43">
        <f t="shared" si="406"/>
        <v>0</v>
      </c>
      <c r="BA51" s="43">
        <f t="shared" si="406"/>
        <v>0</v>
      </c>
      <c r="BB51" s="43">
        <f t="shared" si="406"/>
        <v>0</v>
      </c>
      <c r="BC51" s="43">
        <f t="shared" si="406"/>
        <v>0</v>
      </c>
      <c r="BD51" s="43">
        <f t="shared" si="406"/>
        <v>0</v>
      </c>
      <c r="BE51" s="43">
        <f t="shared" si="406"/>
        <v>0</v>
      </c>
      <c r="BF51" s="43">
        <f>(BF243+BF244)</f>
        <v>0</v>
      </c>
    </row>
    <row r="52" spans="1:58" ht="14.1" customHeight="1">
      <c r="A52" s="412">
        <f t="shared" si="53"/>
        <v>46</v>
      </c>
      <c r="B52" s="56" t="s">
        <v>46</v>
      </c>
      <c r="C52" s="212">
        <f t="shared" si="311"/>
        <v>111131327</v>
      </c>
      <c r="D52" s="64">
        <f>D240</f>
        <v>0</v>
      </c>
      <c r="E52" s="64">
        <f>E240</f>
        <v>0</v>
      </c>
      <c r="F52" s="64">
        <f t="shared" ref="F52" si="407">F240</f>
        <v>0</v>
      </c>
      <c r="G52" s="64">
        <f t="shared" ref="G52" si="408">G240</f>
        <v>29690336</v>
      </c>
      <c r="H52" s="64">
        <f t="shared" ref="H52" si="409">H240</f>
        <v>0</v>
      </c>
      <c r="I52" s="64">
        <f>I240</f>
        <v>0</v>
      </c>
      <c r="J52" s="64">
        <f>J240</f>
        <v>0</v>
      </c>
      <c r="K52" s="64">
        <f>K240</f>
        <v>0</v>
      </c>
      <c r="L52" s="64">
        <f t="shared" ref="L52" si="410">L240</f>
        <v>0</v>
      </c>
      <c r="M52" s="64">
        <f t="shared" ref="M52:AB52" si="411">M240</f>
        <v>0</v>
      </c>
      <c r="N52" s="64">
        <f t="shared" si="411"/>
        <v>0</v>
      </c>
      <c r="O52" s="64">
        <f t="shared" si="411"/>
        <v>0</v>
      </c>
      <c r="P52" s="64">
        <f t="shared" si="411"/>
        <v>0</v>
      </c>
      <c r="Q52" s="64">
        <f t="shared" si="411"/>
        <v>0</v>
      </c>
      <c r="R52" s="64">
        <f t="shared" si="411"/>
        <v>0</v>
      </c>
      <c r="S52" s="64">
        <f t="shared" si="411"/>
        <v>0</v>
      </c>
      <c r="T52" s="64">
        <f t="shared" si="411"/>
        <v>0</v>
      </c>
      <c r="U52" s="64">
        <f t="shared" si="411"/>
        <v>0</v>
      </c>
      <c r="V52" s="64">
        <f t="shared" si="411"/>
        <v>0</v>
      </c>
      <c r="W52" s="64">
        <f t="shared" si="411"/>
        <v>0</v>
      </c>
      <c r="X52" s="64">
        <f t="shared" si="411"/>
        <v>0</v>
      </c>
      <c r="Y52" s="64">
        <f t="shared" si="411"/>
        <v>0</v>
      </c>
      <c r="Z52" s="64">
        <f t="shared" si="411"/>
        <v>0</v>
      </c>
      <c r="AA52" s="64">
        <f t="shared" si="411"/>
        <v>0</v>
      </c>
      <c r="AB52" s="64">
        <f t="shared" si="411"/>
        <v>0</v>
      </c>
      <c r="AC52" s="64">
        <f t="shared" ref="AC52" si="412">AC240</f>
        <v>0</v>
      </c>
      <c r="AD52" s="64">
        <f>AD240</f>
        <v>0</v>
      </c>
      <c r="AE52" s="64">
        <f>AE240</f>
        <v>0</v>
      </c>
      <c r="AF52" s="64">
        <f t="shared" ref="AF52" si="413">AF240</f>
        <v>0</v>
      </c>
      <c r="AG52" s="64">
        <f t="shared" ref="AG52" si="414">AG240</f>
        <v>0</v>
      </c>
      <c r="AH52" s="64">
        <f>AH240</f>
        <v>0</v>
      </c>
      <c r="AI52" s="64">
        <f>AI240</f>
        <v>0</v>
      </c>
      <c r="AJ52" s="64">
        <f t="shared" ref="AJ52" si="415">AJ240</f>
        <v>0</v>
      </c>
      <c r="AK52" s="64">
        <f t="shared" ref="AK52:AU52" si="416">AK240</f>
        <v>0</v>
      </c>
      <c r="AL52" s="64">
        <f t="shared" si="416"/>
        <v>0</v>
      </c>
      <c r="AM52" s="64">
        <f t="shared" si="416"/>
        <v>0</v>
      </c>
      <c r="AN52" s="64">
        <f t="shared" si="416"/>
        <v>0</v>
      </c>
      <c r="AO52" s="64">
        <f t="shared" si="416"/>
        <v>0</v>
      </c>
      <c r="AP52" s="64">
        <f t="shared" si="416"/>
        <v>0</v>
      </c>
      <c r="AQ52" s="64">
        <f t="shared" si="416"/>
        <v>0</v>
      </c>
      <c r="AR52" s="64">
        <f t="shared" si="416"/>
        <v>0</v>
      </c>
      <c r="AS52" s="64">
        <f t="shared" si="416"/>
        <v>0</v>
      </c>
      <c r="AT52" s="64">
        <f t="shared" si="416"/>
        <v>0</v>
      </c>
      <c r="AU52" s="64">
        <f t="shared" si="416"/>
        <v>0</v>
      </c>
      <c r="AV52" s="64">
        <f>AV240</f>
        <v>0</v>
      </c>
      <c r="AW52" s="64">
        <f>AW240</f>
        <v>81440991</v>
      </c>
      <c r="AX52" s="64">
        <f t="shared" ref="AX52:BE52" si="417">AX240</f>
        <v>0</v>
      </c>
      <c r="AY52" s="64">
        <f t="shared" si="417"/>
        <v>0</v>
      </c>
      <c r="AZ52" s="64">
        <f t="shared" si="417"/>
        <v>0</v>
      </c>
      <c r="BA52" s="64">
        <f t="shared" si="417"/>
        <v>0</v>
      </c>
      <c r="BB52" s="64">
        <f t="shared" si="417"/>
        <v>0</v>
      </c>
      <c r="BC52" s="64">
        <f t="shared" si="417"/>
        <v>0</v>
      </c>
      <c r="BD52" s="64">
        <f t="shared" si="417"/>
        <v>0</v>
      </c>
      <c r="BE52" s="64">
        <f t="shared" si="417"/>
        <v>0</v>
      </c>
      <c r="BF52" s="64">
        <f>BF240</f>
        <v>0</v>
      </c>
    </row>
    <row r="53" spans="1:58" s="18" customFormat="1" ht="18" customHeight="1" thickBot="1">
      <c r="A53" s="412">
        <f t="shared" si="53"/>
        <v>47</v>
      </c>
      <c r="B53" s="5" t="s">
        <v>47</v>
      </c>
      <c r="C53" s="143">
        <f>SUM(C45:C52)</f>
        <v>-130984224.82749999</v>
      </c>
      <c r="D53" s="143">
        <f>SUM(D45:D52)</f>
        <v>0</v>
      </c>
      <c r="E53" s="143">
        <f>SUM(E45:E52)</f>
        <v>6.625</v>
      </c>
      <c r="F53" s="143">
        <f t="shared" ref="F53" si="418">SUM(F45:F52)</f>
        <v>-490964.5</v>
      </c>
      <c r="G53" s="143">
        <f t="shared" ref="G53" si="419">SUM(G45:G52)</f>
        <v>-201813677</v>
      </c>
      <c r="H53" s="143">
        <f t="shared" ref="H53:BE53" si="420">SUM(H45:H52)</f>
        <v>-83425.372499999998</v>
      </c>
      <c r="I53" s="143">
        <f>SUM(I45:I52)</f>
        <v>-627885.125</v>
      </c>
      <c r="J53" s="143">
        <f>SUM(J45:J52)</f>
        <v>276492.70500000002</v>
      </c>
      <c r="K53" s="143">
        <f>SUM(K45:K52)</f>
        <v>21734.334999999999</v>
      </c>
      <c r="L53" s="143">
        <f t="shared" ref="L53" si="421">SUM(L45:L52)</f>
        <v>46567.75</v>
      </c>
      <c r="M53" s="143">
        <f t="shared" ref="M53:AB53" si="422">SUM(M45:M52)</f>
        <v>-882523.625</v>
      </c>
      <c r="N53" s="143">
        <f t="shared" si="422"/>
        <v>-30846.5</v>
      </c>
      <c r="O53" s="143">
        <f t="shared" si="422"/>
        <v>-37876.375</v>
      </c>
      <c r="P53" s="143">
        <f t="shared" si="422"/>
        <v>0</v>
      </c>
      <c r="Q53" s="143">
        <f t="shared" si="422"/>
        <v>-241455.25</v>
      </c>
      <c r="R53" s="143">
        <f t="shared" si="422"/>
        <v>733875</v>
      </c>
      <c r="S53" s="143">
        <f t="shared" si="422"/>
        <v>0</v>
      </c>
      <c r="T53" s="143">
        <f t="shared" si="422"/>
        <v>74491.5</v>
      </c>
      <c r="U53" s="143">
        <f t="shared" si="422"/>
        <v>-43301</v>
      </c>
      <c r="V53" s="143">
        <f t="shared" si="422"/>
        <v>47074.875</v>
      </c>
      <c r="W53" s="143">
        <f t="shared" si="422"/>
        <v>-832</v>
      </c>
      <c r="X53" s="143">
        <f t="shared" si="422"/>
        <v>-12555.54</v>
      </c>
      <c r="Y53" s="143">
        <f t="shared" si="422"/>
        <v>-5018.2462500000001</v>
      </c>
      <c r="Z53" s="143">
        <f t="shared" si="422"/>
        <v>18584.875</v>
      </c>
      <c r="AA53" s="143">
        <f t="shared" si="422"/>
        <v>53655.125</v>
      </c>
      <c r="AB53" s="143">
        <f t="shared" si="422"/>
        <v>-106020.625</v>
      </c>
      <c r="AC53" s="143">
        <f t="shared" ref="AC53" si="423">SUM(AC45:AC52)</f>
        <v>-1437698</v>
      </c>
      <c r="AD53" s="143">
        <f>SUM(AD45:AD52)</f>
        <v>110275.5</v>
      </c>
      <c r="AE53" s="143">
        <f>SUM(AE45:AE52)</f>
        <v>66094.25</v>
      </c>
      <c r="AF53" s="143">
        <f t="shared" ref="AF53" si="424">SUM(AF45:AF52)</f>
        <v>14825.75</v>
      </c>
      <c r="AG53" s="143">
        <f t="shared" ref="AG53" si="425">SUM(AG45:AG52)</f>
        <v>0</v>
      </c>
      <c r="AH53" s="143">
        <f>SUM(AH45:AH52)</f>
        <v>-4429.125</v>
      </c>
      <c r="AI53" s="143">
        <f>SUM(AI45:AI52)</f>
        <v>-497407.875</v>
      </c>
      <c r="AJ53" s="143">
        <f t="shared" ref="AJ53" si="426">SUM(AJ45:AJ52)</f>
        <v>-1864.20875</v>
      </c>
      <c r="AK53" s="143">
        <f t="shared" ref="AK53:AU53" si="427">SUM(AK45:AK52)</f>
        <v>-34291.75</v>
      </c>
      <c r="AL53" s="143">
        <f t="shared" si="427"/>
        <v>0</v>
      </c>
      <c r="AM53" s="143">
        <f t="shared" si="427"/>
        <v>0</v>
      </c>
      <c r="AN53" s="143">
        <f t="shared" si="427"/>
        <v>0</v>
      </c>
      <c r="AO53" s="143">
        <f t="shared" si="427"/>
        <v>0</v>
      </c>
      <c r="AP53" s="143">
        <f t="shared" si="427"/>
        <v>0</v>
      </c>
      <c r="AQ53" s="143">
        <f t="shared" si="427"/>
        <v>0</v>
      </c>
      <c r="AR53" s="143">
        <f t="shared" si="427"/>
        <v>0</v>
      </c>
      <c r="AS53" s="143">
        <f t="shared" si="427"/>
        <v>0</v>
      </c>
      <c r="AT53" s="143">
        <f t="shared" si="427"/>
        <v>0</v>
      </c>
      <c r="AU53" s="143">
        <f t="shared" si="427"/>
        <v>-6709111</v>
      </c>
      <c r="AV53" s="143">
        <f>SUM(AV45:AV52)</f>
        <v>21574.25</v>
      </c>
      <c r="AW53" s="143">
        <f>SUM(AW45:AW52)</f>
        <v>81440991</v>
      </c>
      <c r="AX53" s="143">
        <f t="shared" si="420"/>
        <v>0</v>
      </c>
      <c r="AY53" s="143">
        <f t="shared" si="420"/>
        <v>0</v>
      </c>
      <c r="AZ53" s="143">
        <f t="shared" si="420"/>
        <v>-849285.25</v>
      </c>
      <c r="BA53" s="143">
        <f t="shared" si="420"/>
        <v>0</v>
      </c>
      <c r="BB53" s="143">
        <f t="shared" si="420"/>
        <v>0</v>
      </c>
      <c r="BC53" s="143">
        <f t="shared" si="420"/>
        <v>0</v>
      </c>
      <c r="BD53" s="143">
        <f t="shared" si="420"/>
        <v>0</v>
      </c>
      <c r="BE53" s="143">
        <f t="shared" si="420"/>
        <v>0</v>
      </c>
      <c r="BF53" s="143">
        <f>SUM(BF45:BF52)</f>
        <v>0</v>
      </c>
    </row>
    <row r="54" spans="1:58" s="18" customFormat="1" ht="14.1" customHeight="1" thickTop="1">
      <c r="A54" s="412">
        <f t="shared" si="53"/>
        <v>48</v>
      </c>
      <c r="B54" s="6"/>
      <c r="C54" s="264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</row>
    <row r="55" spans="1:58" s="18" customFormat="1" ht="14.1" customHeight="1">
      <c r="A55" s="412">
        <f t="shared" si="53"/>
        <v>49</v>
      </c>
      <c r="B55" s="2"/>
      <c r="C55" s="2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</row>
    <row r="56" spans="1:58" s="18" customFormat="1" ht="14.1" customHeight="1">
      <c r="A56" s="412">
        <f t="shared" si="53"/>
        <v>50</v>
      </c>
      <c r="B56" s="6"/>
      <c r="C56" s="6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</row>
    <row r="57" spans="1:58" ht="13.5" customHeight="1">
      <c r="A57" s="412">
        <f t="shared" si="53"/>
        <v>51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</row>
    <row r="58" spans="1:58" s="21" customFormat="1" ht="14.1" customHeight="1">
      <c r="A58" s="412">
        <f t="shared" si="53"/>
        <v>52</v>
      </c>
      <c r="B58" s="53" t="s">
        <v>50</v>
      </c>
      <c r="C58" s="7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</row>
    <row r="59" spans="1:58" ht="14.1" customHeight="1">
      <c r="A59" s="412">
        <f t="shared" si="53"/>
        <v>53</v>
      </c>
      <c r="B59" s="8" t="s">
        <v>51</v>
      </c>
      <c r="C59" s="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</row>
    <row r="60" spans="1:58" ht="14.1" customHeight="1">
      <c r="A60" s="412">
        <f t="shared" si="53"/>
        <v>54</v>
      </c>
      <c r="B60" s="89" t="s">
        <v>52</v>
      </c>
      <c r="C60" s="38">
        <f>SUM(D60:BF60)</f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0">
        <v>0</v>
      </c>
      <c r="BB60" s="10">
        <v>0</v>
      </c>
      <c r="BC60" s="10">
        <v>0</v>
      </c>
      <c r="BD60" s="10">
        <v>0</v>
      </c>
      <c r="BE60" s="10">
        <v>0</v>
      </c>
      <c r="BF60" s="10">
        <v>0</v>
      </c>
    </row>
    <row r="61" spans="1:58" ht="14.1" customHeight="1">
      <c r="A61" s="412">
        <f t="shared" si="53"/>
        <v>55</v>
      </c>
      <c r="B61" s="56" t="s">
        <v>53</v>
      </c>
      <c r="C61" s="38">
        <f>SUM(D61:BF61)</f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v>0</v>
      </c>
      <c r="AV61" s="10">
        <v>0</v>
      </c>
      <c r="AW61" s="10">
        <v>0</v>
      </c>
      <c r="AX61" s="10">
        <v>0</v>
      </c>
      <c r="AY61" s="10">
        <v>0</v>
      </c>
      <c r="AZ61" s="10">
        <v>0</v>
      </c>
      <c r="BA61" s="10">
        <v>0</v>
      </c>
      <c r="BB61" s="10">
        <v>0</v>
      </c>
      <c r="BC61" s="10">
        <v>0</v>
      </c>
      <c r="BD61" s="10">
        <v>0</v>
      </c>
      <c r="BE61" s="10">
        <v>0</v>
      </c>
      <c r="BF61" s="10">
        <v>0</v>
      </c>
    </row>
    <row r="62" spans="1:58" ht="14.1" customHeight="1">
      <c r="A62" s="412">
        <f t="shared" si="53"/>
        <v>56</v>
      </c>
      <c r="B62" s="3" t="s">
        <v>528</v>
      </c>
      <c r="C62" s="47">
        <f>SUM(C60:C61)</f>
        <v>0</v>
      </c>
      <c r="D62" s="47">
        <f>SUM(D60:D61)</f>
        <v>0</v>
      </c>
      <c r="E62" s="47">
        <f>SUM(E60:E61)</f>
        <v>0</v>
      </c>
      <c r="F62" s="47">
        <f t="shared" ref="F62" si="428">SUM(F60:F61)</f>
        <v>0</v>
      </c>
      <c r="G62" s="47">
        <f t="shared" ref="G62" si="429">SUM(G60:G61)</f>
        <v>0</v>
      </c>
      <c r="H62" s="47">
        <f t="shared" ref="H62:BE62" si="430">SUM(H60:H61)</f>
        <v>0</v>
      </c>
      <c r="I62" s="47">
        <f>SUM(I60:I61)</f>
        <v>0</v>
      </c>
      <c r="J62" s="47">
        <f>SUM(J60:J61)</f>
        <v>0</v>
      </c>
      <c r="K62" s="47">
        <f>SUM(K60:K61)</f>
        <v>0</v>
      </c>
      <c r="L62" s="47">
        <f t="shared" ref="L62" si="431">SUM(L60:L61)</f>
        <v>0</v>
      </c>
      <c r="M62" s="47">
        <f t="shared" ref="M62:AB62" si="432">SUM(M60:M61)</f>
        <v>0</v>
      </c>
      <c r="N62" s="47">
        <f t="shared" si="432"/>
        <v>0</v>
      </c>
      <c r="O62" s="47">
        <f t="shared" si="432"/>
        <v>0</v>
      </c>
      <c r="P62" s="47">
        <f t="shared" si="432"/>
        <v>0</v>
      </c>
      <c r="Q62" s="47">
        <f t="shared" si="432"/>
        <v>0</v>
      </c>
      <c r="R62" s="47">
        <f t="shared" si="432"/>
        <v>0</v>
      </c>
      <c r="S62" s="47">
        <f t="shared" si="432"/>
        <v>0</v>
      </c>
      <c r="T62" s="47">
        <f t="shared" si="432"/>
        <v>0</v>
      </c>
      <c r="U62" s="47">
        <f t="shared" si="432"/>
        <v>0</v>
      </c>
      <c r="V62" s="47">
        <f t="shared" si="432"/>
        <v>0</v>
      </c>
      <c r="W62" s="47">
        <f t="shared" si="432"/>
        <v>0</v>
      </c>
      <c r="X62" s="47">
        <f t="shared" si="432"/>
        <v>0</v>
      </c>
      <c r="Y62" s="47">
        <f t="shared" si="432"/>
        <v>0</v>
      </c>
      <c r="Z62" s="47">
        <f t="shared" si="432"/>
        <v>0</v>
      </c>
      <c r="AA62" s="47">
        <f t="shared" si="432"/>
        <v>0</v>
      </c>
      <c r="AB62" s="47">
        <f t="shared" si="432"/>
        <v>0</v>
      </c>
      <c r="AC62" s="47">
        <f t="shared" ref="AC62" si="433">SUM(AC60:AC61)</f>
        <v>0</v>
      </c>
      <c r="AD62" s="47">
        <f>SUM(AD60:AD61)</f>
        <v>0</v>
      </c>
      <c r="AE62" s="47">
        <f>SUM(AE60:AE61)</f>
        <v>0</v>
      </c>
      <c r="AF62" s="47">
        <f t="shared" ref="AF62" si="434">SUM(AF60:AF61)</f>
        <v>0</v>
      </c>
      <c r="AG62" s="47">
        <f t="shared" ref="AG62" si="435">SUM(AG60:AG61)</f>
        <v>0</v>
      </c>
      <c r="AH62" s="47">
        <f>SUM(AH60:AH61)</f>
        <v>0</v>
      </c>
      <c r="AI62" s="47">
        <f>SUM(AI60:AI61)</f>
        <v>0</v>
      </c>
      <c r="AJ62" s="47">
        <f t="shared" ref="AJ62" si="436">SUM(AJ60:AJ61)</f>
        <v>0</v>
      </c>
      <c r="AK62" s="47">
        <f t="shared" ref="AK62:AU62" si="437">SUM(AK60:AK61)</f>
        <v>0</v>
      </c>
      <c r="AL62" s="47">
        <f t="shared" si="437"/>
        <v>0</v>
      </c>
      <c r="AM62" s="47">
        <f t="shared" si="437"/>
        <v>0</v>
      </c>
      <c r="AN62" s="47">
        <f t="shared" si="437"/>
        <v>0</v>
      </c>
      <c r="AO62" s="47">
        <f t="shared" si="437"/>
        <v>0</v>
      </c>
      <c r="AP62" s="47">
        <f t="shared" si="437"/>
        <v>0</v>
      </c>
      <c r="AQ62" s="47">
        <f t="shared" si="437"/>
        <v>0</v>
      </c>
      <c r="AR62" s="47">
        <f t="shared" si="437"/>
        <v>0</v>
      </c>
      <c r="AS62" s="47">
        <f t="shared" si="437"/>
        <v>0</v>
      </c>
      <c r="AT62" s="47">
        <f t="shared" si="437"/>
        <v>0</v>
      </c>
      <c r="AU62" s="47">
        <f t="shared" si="437"/>
        <v>0</v>
      </c>
      <c r="AV62" s="47">
        <f>SUM(AV60:AV61)</f>
        <v>0</v>
      </c>
      <c r="AW62" s="47">
        <f>SUM(AW60:AW61)</f>
        <v>0</v>
      </c>
      <c r="AX62" s="47">
        <f t="shared" si="430"/>
        <v>0</v>
      </c>
      <c r="AY62" s="47">
        <f t="shared" si="430"/>
        <v>0</v>
      </c>
      <c r="AZ62" s="47">
        <f t="shared" si="430"/>
        <v>0</v>
      </c>
      <c r="BA62" s="47">
        <f t="shared" si="430"/>
        <v>0</v>
      </c>
      <c r="BB62" s="47">
        <f t="shared" si="430"/>
        <v>0</v>
      </c>
      <c r="BC62" s="47">
        <f t="shared" si="430"/>
        <v>0</v>
      </c>
      <c r="BD62" s="47">
        <f t="shared" si="430"/>
        <v>0</v>
      </c>
      <c r="BE62" s="47">
        <f t="shared" si="430"/>
        <v>0</v>
      </c>
      <c r="BF62" s="47">
        <f>SUM(BF60:BF61)</f>
        <v>0</v>
      </c>
    </row>
    <row r="63" spans="1:58" ht="14.1" customHeight="1">
      <c r="A63" s="412">
        <f t="shared" si="53"/>
        <v>57</v>
      </c>
      <c r="C63" s="22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</row>
    <row r="64" spans="1:58" ht="14.1" customHeight="1">
      <c r="A64" s="412">
        <f t="shared" si="53"/>
        <v>58</v>
      </c>
      <c r="B64" s="3" t="s">
        <v>56</v>
      </c>
      <c r="C64" s="1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</row>
    <row r="65" spans="1:58" ht="14.1" customHeight="1">
      <c r="A65" s="412">
        <f t="shared" si="53"/>
        <v>59</v>
      </c>
      <c r="B65" s="3" t="s">
        <v>57</v>
      </c>
      <c r="C65" s="3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</row>
    <row r="66" spans="1:58" ht="14.1" customHeight="1">
      <c r="A66" s="412">
        <f t="shared" si="53"/>
        <v>60</v>
      </c>
      <c r="B66" s="89" t="s">
        <v>58</v>
      </c>
      <c r="C66" s="38">
        <f t="shared" ref="C66:C73" si="438">SUM(D66:BF66)</f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0</v>
      </c>
      <c r="BD66" s="10">
        <v>0</v>
      </c>
      <c r="BE66" s="10">
        <v>0</v>
      </c>
      <c r="BF66" s="10">
        <v>0</v>
      </c>
    </row>
    <row r="67" spans="1:58" ht="14.1" customHeight="1">
      <c r="A67" s="412">
        <f t="shared" si="53"/>
        <v>61</v>
      </c>
      <c r="B67" s="89" t="s">
        <v>60</v>
      </c>
      <c r="C67" s="38">
        <f t="shared" si="438"/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0</v>
      </c>
      <c r="BE67" s="10">
        <v>0</v>
      </c>
      <c r="BF67" s="10">
        <v>0</v>
      </c>
    </row>
    <row r="68" spans="1:58" ht="14.1" customHeight="1">
      <c r="A68" s="412">
        <f t="shared" si="53"/>
        <v>62</v>
      </c>
      <c r="B68" s="89" t="s">
        <v>61</v>
      </c>
      <c r="C68" s="38">
        <f t="shared" si="438"/>
        <v>-323154089</v>
      </c>
      <c r="D68" s="10">
        <v>0</v>
      </c>
      <c r="E68" s="10">
        <v>0</v>
      </c>
      <c r="F68" s="10">
        <v>0</v>
      </c>
      <c r="G68" s="10">
        <v>-323154089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0</v>
      </c>
      <c r="BE68" s="10">
        <v>0</v>
      </c>
      <c r="BF68" s="10">
        <v>0</v>
      </c>
    </row>
    <row r="69" spans="1:58" ht="14.1" customHeight="1">
      <c r="A69" s="412">
        <f t="shared" si="53"/>
        <v>63</v>
      </c>
      <c r="B69" s="89" t="s">
        <v>62</v>
      </c>
      <c r="C69" s="38">
        <f t="shared" si="438"/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v>0</v>
      </c>
      <c r="AV69" s="10">
        <v>0</v>
      </c>
      <c r="AW69" s="10">
        <v>0</v>
      </c>
      <c r="AX69" s="10">
        <v>0</v>
      </c>
      <c r="AY69" s="10">
        <v>0</v>
      </c>
      <c r="AZ69" s="10">
        <v>0</v>
      </c>
      <c r="BA69" s="10">
        <v>0</v>
      </c>
      <c r="BB69" s="10">
        <v>0</v>
      </c>
      <c r="BC69" s="10">
        <v>0</v>
      </c>
      <c r="BD69" s="10">
        <v>0</v>
      </c>
      <c r="BE69" s="10">
        <v>0</v>
      </c>
      <c r="BF69" s="10">
        <v>0</v>
      </c>
    </row>
    <row r="70" spans="1:58" ht="14.1" customHeight="1">
      <c r="A70" s="412">
        <f t="shared" si="53"/>
        <v>64</v>
      </c>
      <c r="B70" s="89" t="s">
        <v>63</v>
      </c>
      <c r="C70" s="38">
        <f t="shared" si="438"/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10">
        <v>0</v>
      </c>
      <c r="AP70" s="10">
        <v>0</v>
      </c>
      <c r="AQ70" s="10">
        <v>0</v>
      </c>
      <c r="AR70" s="10">
        <v>0</v>
      </c>
      <c r="AS70" s="10">
        <v>0</v>
      </c>
      <c r="AT70" s="10">
        <v>0</v>
      </c>
      <c r="AU70" s="10">
        <v>0</v>
      </c>
      <c r="AV70" s="10">
        <v>0</v>
      </c>
      <c r="AW70" s="10">
        <v>0</v>
      </c>
      <c r="AX70" s="10">
        <v>0</v>
      </c>
      <c r="AY70" s="10">
        <v>0</v>
      </c>
      <c r="AZ70" s="10">
        <v>0</v>
      </c>
      <c r="BA70" s="10">
        <v>0</v>
      </c>
      <c r="BB70" s="10">
        <v>0</v>
      </c>
      <c r="BC70" s="10">
        <v>0</v>
      </c>
      <c r="BD70" s="10">
        <v>0</v>
      </c>
      <c r="BE70" s="10">
        <v>0</v>
      </c>
      <c r="BF70" s="10">
        <v>0</v>
      </c>
    </row>
    <row r="71" spans="1:58" ht="14.1" customHeight="1">
      <c r="A71" s="412">
        <f t="shared" si="53"/>
        <v>65</v>
      </c>
      <c r="B71" s="89" t="s">
        <v>64</v>
      </c>
      <c r="C71" s="38">
        <f t="shared" si="438"/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v>0</v>
      </c>
      <c r="AV71" s="10">
        <v>0</v>
      </c>
      <c r="AW71" s="10">
        <v>0</v>
      </c>
      <c r="AX71" s="10">
        <v>0</v>
      </c>
      <c r="AY71" s="10">
        <v>0</v>
      </c>
      <c r="AZ71" s="10">
        <v>0</v>
      </c>
      <c r="BA71" s="10">
        <v>0</v>
      </c>
      <c r="BB71" s="10">
        <v>0</v>
      </c>
      <c r="BC71" s="10">
        <v>0</v>
      </c>
      <c r="BD71" s="10">
        <v>0</v>
      </c>
      <c r="BE71" s="10">
        <v>0</v>
      </c>
      <c r="BF71" s="10">
        <v>0</v>
      </c>
    </row>
    <row r="72" spans="1:58" ht="14.1" customHeight="1">
      <c r="A72" s="412">
        <f t="shared" si="53"/>
        <v>66</v>
      </c>
      <c r="B72" s="89" t="s">
        <v>65</v>
      </c>
      <c r="C72" s="38">
        <f t="shared" si="438"/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  <c r="BC72" s="10">
        <v>0</v>
      </c>
      <c r="BD72" s="10">
        <v>0</v>
      </c>
      <c r="BE72" s="10">
        <v>0</v>
      </c>
      <c r="BF72" s="10">
        <v>0</v>
      </c>
    </row>
    <row r="73" spans="1:58" ht="14.1" customHeight="1">
      <c r="A73" s="412">
        <f t="shared" si="53"/>
        <v>67</v>
      </c>
      <c r="B73" s="56" t="s">
        <v>66</v>
      </c>
      <c r="C73" s="38">
        <f t="shared" si="438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v>0</v>
      </c>
      <c r="AV73" s="10">
        <v>0</v>
      </c>
      <c r="AW73" s="10">
        <v>0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  <c r="BC73" s="10">
        <v>0</v>
      </c>
      <c r="BD73" s="10">
        <v>0</v>
      </c>
      <c r="BE73" s="10">
        <v>0</v>
      </c>
      <c r="BF73" s="10">
        <v>0</v>
      </c>
    </row>
    <row r="74" spans="1:58" s="18" customFormat="1" ht="14.1" customHeight="1">
      <c r="A74" s="412">
        <f t="shared" si="53"/>
        <v>68</v>
      </c>
      <c r="B74" s="2" t="s">
        <v>529</v>
      </c>
      <c r="C74" s="86">
        <f t="shared" ref="C74:H74" si="439">SUM(C66:C73)</f>
        <v>-323154089</v>
      </c>
      <c r="D74" s="86">
        <f t="shared" si="439"/>
        <v>0</v>
      </c>
      <c r="E74" s="86">
        <f t="shared" ref="E74" si="440">SUM(E66:E73)</f>
        <v>0</v>
      </c>
      <c r="F74" s="86">
        <f t="shared" ref="F74" si="441">SUM(F66:F73)</f>
        <v>0</v>
      </c>
      <c r="G74" s="86">
        <f t="shared" ref="G74" si="442">SUM(G66:G73)</f>
        <v>-323154089</v>
      </c>
      <c r="H74" s="86">
        <f t="shared" si="439"/>
        <v>0</v>
      </c>
      <c r="I74" s="86">
        <f>SUM(I66:I73)</f>
        <v>0</v>
      </c>
      <c r="J74" s="86">
        <f>SUM(J66:J73)</f>
        <v>0</v>
      </c>
      <c r="K74" s="86">
        <f>SUM(K66:K73)</f>
        <v>0</v>
      </c>
      <c r="L74" s="86">
        <f t="shared" ref="L74" si="443">SUM(L66:L73)</f>
        <v>0</v>
      </c>
      <c r="M74" s="86">
        <f t="shared" ref="M74:AB74" si="444">SUM(M66:M73)</f>
        <v>0</v>
      </c>
      <c r="N74" s="86">
        <f t="shared" si="444"/>
        <v>0</v>
      </c>
      <c r="O74" s="86">
        <f t="shared" si="444"/>
        <v>0</v>
      </c>
      <c r="P74" s="86">
        <f t="shared" si="444"/>
        <v>0</v>
      </c>
      <c r="Q74" s="86">
        <f t="shared" si="444"/>
        <v>0</v>
      </c>
      <c r="R74" s="86">
        <f t="shared" si="444"/>
        <v>0</v>
      </c>
      <c r="S74" s="86">
        <f t="shared" si="444"/>
        <v>0</v>
      </c>
      <c r="T74" s="86">
        <f t="shared" si="444"/>
        <v>0</v>
      </c>
      <c r="U74" s="86">
        <f t="shared" si="444"/>
        <v>0</v>
      </c>
      <c r="V74" s="86">
        <f t="shared" si="444"/>
        <v>0</v>
      </c>
      <c r="W74" s="86">
        <f t="shared" si="444"/>
        <v>0</v>
      </c>
      <c r="X74" s="86">
        <f t="shared" si="444"/>
        <v>0</v>
      </c>
      <c r="Y74" s="86">
        <f t="shared" si="444"/>
        <v>0</v>
      </c>
      <c r="Z74" s="86">
        <f t="shared" si="444"/>
        <v>0</v>
      </c>
      <c r="AA74" s="86">
        <f t="shared" si="444"/>
        <v>0</v>
      </c>
      <c r="AB74" s="86">
        <f t="shared" si="444"/>
        <v>0</v>
      </c>
      <c r="AC74" s="86">
        <f t="shared" ref="AC74" si="445">SUM(AC66:AC73)</f>
        <v>0</v>
      </c>
      <c r="AD74" s="86">
        <f>SUM(AD66:AD73)</f>
        <v>0</v>
      </c>
      <c r="AE74" s="86">
        <f>SUM(AE66:AE73)</f>
        <v>0</v>
      </c>
      <c r="AF74" s="86">
        <f t="shared" ref="AF74" si="446">SUM(AF66:AF73)</f>
        <v>0</v>
      </c>
      <c r="AG74" s="86">
        <f t="shared" ref="AG74" si="447">SUM(AG66:AG73)</f>
        <v>0</v>
      </c>
      <c r="AH74" s="86">
        <f t="shared" ref="AH74:AU74" si="448">SUM(AH66:AH73)</f>
        <v>0</v>
      </c>
      <c r="AI74" s="86">
        <f t="shared" si="448"/>
        <v>0</v>
      </c>
      <c r="AJ74" s="86">
        <f t="shared" si="448"/>
        <v>0</v>
      </c>
      <c r="AK74" s="86">
        <f t="shared" si="448"/>
        <v>0</v>
      </c>
      <c r="AL74" s="86">
        <f t="shared" si="448"/>
        <v>0</v>
      </c>
      <c r="AM74" s="86">
        <f t="shared" si="448"/>
        <v>0</v>
      </c>
      <c r="AN74" s="86">
        <f t="shared" si="448"/>
        <v>0</v>
      </c>
      <c r="AO74" s="86">
        <f t="shared" si="448"/>
        <v>0</v>
      </c>
      <c r="AP74" s="86">
        <f t="shared" si="448"/>
        <v>0</v>
      </c>
      <c r="AQ74" s="86">
        <f t="shared" si="448"/>
        <v>0</v>
      </c>
      <c r="AR74" s="86">
        <f t="shared" si="448"/>
        <v>0</v>
      </c>
      <c r="AS74" s="86">
        <f t="shared" si="448"/>
        <v>0</v>
      </c>
      <c r="AT74" s="86">
        <f t="shared" si="448"/>
        <v>0</v>
      </c>
      <c r="AU74" s="86">
        <f t="shared" si="448"/>
        <v>0</v>
      </c>
      <c r="AV74" s="86">
        <f>SUM(AV66:AV73)</f>
        <v>0</v>
      </c>
      <c r="AW74" s="86">
        <f>SUM(AW66:AW73)</f>
        <v>0</v>
      </c>
      <c r="AX74" s="86">
        <f t="shared" ref="AX74:BA74" si="449">SUM(AX66:AX73)</f>
        <v>0</v>
      </c>
      <c r="AY74" s="86">
        <f t="shared" si="449"/>
        <v>0</v>
      </c>
      <c r="AZ74" s="86">
        <f t="shared" si="449"/>
        <v>0</v>
      </c>
      <c r="BA74" s="86">
        <f t="shared" si="449"/>
        <v>0</v>
      </c>
      <c r="BB74" s="86">
        <f t="shared" ref="BB74:BE74" si="450">SUM(BB66:BB73)</f>
        <v>0</v>
      </c>
      <c r="BC74" s="86">
        <f t="shared" si="450"/>
        <v>0</v>
      </c>
      <c r="BD74" s="86">
        <f t="shared" si="450"/>
        <v>0</v>
      </c>
      <c r="BE74" s="86">
        <f t="shared" si="450"/>
        <v>0</v>
      </c>
      <c r="BF74" s="86">
        <f>SUM(BF66:BF73)</f>
        <v>0</v>
      </c>
    </row>
    <row r="75" spans="1:58" s="18" customFormat="1" ht="14.1" customHeight="1">
      <c r="A75" s="412">
        <f t="shared" ref="A75:A140" si="451">+A74+1</f>
        <v>69</v>
      </c>
      <c r="B75" s="6"/>
      <c r="C75" s="25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</row>
    <row r="76" spans="1:58" ht="14.1" customHeight="1">
      <c r="A76" s="412">
        <f t="shared" si="451"/>
        <v>70</v>
      </c>
      <c r="B76" s="3" t="s">
        <v>67</v>
      </c>
      <c r="C76" s="1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</row>
    <row r="77" spans="1:58" ht="14.1" customHeight="1">
      <c r="A77" s="412">
        <f t="shared" si="451"/>
        <v>71</v>
      </c>
      <c r="B77" s="89" t="s">
        <v>68</v>
      </c>
      <c r="C77" s="38">
        <f t="shared" ref="C77:C82" si="452">SUM(D77:BF77)</f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v>0</v>
      </c>
      <c r="AV77" s="10">
        <v>0</v>
      </c>
      <c r="AW77" s="10">
        <v>0</v>
      </c>
      <c r="AX77" s="10">
        <v>0</v>
      </c>
      <c r="AY77" s="10">
        <v>0</v>
      </c>
      <c r="AZ77" s="10">
        <v>0</v>
      </c>
      <c r="BA77" s="10">
        <v>0</v>
      </c>
      <c r="BB77" s="10">
        <v>0</v>
      </c>
      <c r="BC77" s="10">
        <v>0</v>
      </c>
      <c r="BD77" s="10">
        <v>0</v>
      </c>
      <c r="BE77" s="10">
        <v>0</v>
      </c>
      <c r="BF77" s="10">
        <v>0</v>
      </c>
    </row>
    <row r="78" spans="1:58" ht="14.1" customHeight="1">
      <c r="A78" s="412">
        <f t="shared" si="451"/>
        <v>72</v>
      </c>
      <c r="B78" s="89" t="s">
        <v>69</v>
      </c>
      <c r="C78" s="38">
        <f t="shared" si="452"/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10">
        <v>0</v>
      </c>
      <c r="AP78" s="10">
        <v>0</v>
      </c>
      <c r="AQ78" s="10">
        <v>0</v>
      </c>
      <c r="AR78" s="10">
        <v>0</v>
      </c>
      <c r="AS78" s="10">
        <v>0</v>
      </c>
      <c r="AT78" s="10">
        <v>0</v>
      </c>
      <c r="AU78" s="10">
        <v>0</v>
      </c>
      <c r="AV78" s="10">
        <v>0</v>
      </c>
      <c r="AW78" s="10">
        <v>0</v>
      </c>
      <c r="AX78" s="10">
        <v>0</v>
      </c>
      <c r="AY78" s="10">
        <v>0</v>
      </c>
      <c r="AZ78" s="10">
        <v>0</v>
      </c>
      <c r="BA78" s="10">
        <v>0</v>
      </c>
      <c r="BB78" s="10">
        <v>0</v>
      </c>
      <c r="BC78" s="10">
        <v>0</v>
      </c>
      <c r="BD78" s="10">
        <v>0</v>
      </c>
      <c r="BE78" s="10">
        <v>0</v>
      </c>
      <c r="BF78" s="10">
        <v>0</v>
      </c>
    </row>
    <row r="79" spans="1:58" ht="14.1" customHeight="1">
      <c r="A79" s="412">
        <f t="shared" si="451"/>
        <v>73</v>
      </c>
      <c r="B79" s="89" t="s">
        <v>70</v>
      </c>
      <c r="C79" s="38">
        <f t="shared" si="452"/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v>0</v>
      </c>
      <c r="AV79" s="10">
        <v>0</v>
      </c>
      <c r="AW79" s="10">
        <v>0</v>
      </c>
      <c r="AX79" s="10">
        <v>0</v>
      </c>
      <c r="AY79" s="10">
        <v>0</v>
      </c>
      <c r="AZ79" s="10">
        <v>0</v>
      </c>
      <c r="BA79" s="10">
        <v>0</v>
      </c>
      <c r="BB79" s="10">
        <v>0</v>
      </c>
      <c r="BC79" s="10">
        <v>0</v>
      </c>
      <c r="BD79" s="10">
        <v>0</v>
      </c>
      <c r="BE79" s="10">
        <v>0</v>
      </c>
      <c r="BF79" s="10">
        <v>0</v>
      </c>
    </row>
    <row r="80" spans="1:58" ht="14.1" customHeight="1">
      <c r="A80" s="412">
        <f t="shared" si="451"/>
        <v>74</v>
      </c>
      <c r="B80" s="89" t="s">
        <v>71</v>
      </c>
      <c r="C80" s="38">
        <f t="shared" si="452"/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10">
        <v>0</v>
      </c>
      <c r="AP80" s="10">
        <v>0</v>
      </c>
      <c r="AQ80" s="10">
        <v>0</v>
      </c>
      <c r="AR80" s="10">
        <v>0</v>
      </c>
      <c r="AS80" s="10">
        <v>0</v>
      </c>
      <c r="AT80" s="10">
        <v>0</v>
      </c>
      <c r="AU80" s="10">
        <v>0</v>
      </c>
      <c r="AV80" s="10">
        <v>0</v>
      </c>
      <c r="AW80" s="10">
        <v>0</v>
      </c>
      <c r="AX80" s="10">
        <v>0</v>
      </c>
      <c r="AY80" s="10">
        <v>0</v>
      </c>
      <c r="AZ80" s="10">
        <v>0</v>
      </c>
      <c r="BA80" s="10">
        <v>0</v>
      </c>
      <c r="BB80" s="10">
        <v>0</v>
      </c>
      <c r="BC80" s="10">
        <v>0</v>
      </c>
      <c r="BD80" s="10">
        <v>0</v>
      </c>
      <c r="BE80" s="10">
        <v>0</v>
      </c>
      <c r="BF80" s="10">
        <v>0</v>
      </c>
    </row>
    <row r="81" spans="1:58" ht="14.1" customHeight="1">
      <c r="A81" s="412">
        <f t="shared" si="451"/>
        <v>75</v>
      </c>
      <c r="B81" s="89" t="s">
        <v>72</v>
      </c>
      <c r="C81" s="38">
        <f t="shared" si="452"/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0</v>
      </c>
      <c r="BA81" s="10">
        <v>0</v>
      </c>
      <c r="BB81" s="10">
        <v>0</v>
      </c>
      <c r="BC81" s="10">
        <v>0</v>
      </c>
      <c r="BD81" s="10">
        <v>0</v>
      </c>
      <c r="BE81" s="10">
        <v>0</v>
      </c>
      <c r="BF81" s="10">
        <v>0</v>
      </c>
    </row>
    <row r="82" spans="1:58" ht="14.1" customHeight="1">
      <c r="A82" s="412">
        <f t="shared" si="451"/>
        <v>76</v>
      </c>
      <c r="B82" s="56" t="s">
        <v>73</v>
      </c>
      <c r="C82" s="38">
        <f t="shared" si="452"/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10">
        <v>0</v>
      </c>
      <c r="AP82" s="10">
        <v>0</v>
      </c>
      <c r="AQ82" s="10">
        <v>0</v>
      </c>
      <c r="AR82" s="10">
        <v>0</v>
      </c>
      <c r="AS82" s="10">
        <v>0</v>
      </c>
      <c r="AT82" s="10">
        <v>0</v>
      </c>
      <c r="AU82" s="10">
        <v>0</v>
      </c>
      <c r="AV82" s="10">
        <v>0</v>
      </c>
      <c r="AW82" s="10">
        <v>0</v>
      </c>
      <c r="AX82" s="10">
        <v>0</v>
      </c>
      <c r="AY82" s="10">
        <v>0</v>
      </c>
      <c r="AZ82" s="10">
        <v>0</v>
      </c>
      <c r="BA82" s="10">
        <v>0</v>
      </c>
      <c r="BB82" s="10">
        <v>0</v>
      </c>
      <c r="BC82" s="10">
        <v>0</v>
      </c>
      <c r="BD82" s="10">
        <v>0</v>
      </c>
      <c r="BE82" s="10">
        <v>0</v>
      </c>
      <c r="BF82" s="10">
        <v>0</v>
      </c>
    </row>
    <row r="83" spans="1:58" s="18" customFormat="1" ht="14.1" customHeight="1">
      <c r="A83" s="412">
        <f t="shared" si="451"/>
        <v>77</v>
      </c>
      <c r="B83" s="2" t="s">
        <v>530</v>
      </c>
      <c r="C83" s="86">
        <f>SUM(C77:C82)</f>
        <v>0</v>
      </c>
      <c r="D83" s="86">
        <f>SUM(D77:D82)</f>
        <v>0</v>
      </c>
      <c r="E83" s="86">
        <f>SUM(E77:E82)</f>
        <v>0</v>
      </c>
      <c r="F83" s="86">
        <f t="shared" ref="F83" si="453">SUM(F77:F82)</f>
        <v>0</v>
      </c>
      <c r="G83" s="86">
        <f t="shared" ref="G83" si="454">SUM(G77:G82)</f>
        <v>0</v>
      </c>
      <c r="H83" s="86">
        <f t="shared" ref="H83:BE83" si="455">SUM(H77:H82)</f>
        <v>0</v>
      </c>
      <c r="I83" s="86">
        <f>SUM(I77:I82)</f>
        <v>0</v>
      </c>
      <c r="J83" s="86">
        <f>SUM(J77:J82)</f>
        <v>0</v>
      </c>
      <c r="K83" s="86">
        <f>SUM(K77:K82)</f>
        <v>0</v>
      </c>
      <c r="L83" s="86">
        <f t="shared" ref="L83" si="456">SUM(L77:L82)</f>
        <v>0</v>
      </c>
      <c r="M83" s="86">
        <f t="shared" ref="M83:AB83" si="457">SUM(M77:M82)</f>
        <v>0</v>
      </c>
      <c r="N83" s="86">
        <f t="shared" si="457"/>
        <v>0</v>
      </c>
      <c r="O83" s="86">
        <f t="shared" si="457"/>
        <v>0</v>
      </c>
      <c r="P83" s="86">
        <f t="shared" si="457"/>
        <v>0</v>
      </c>
      <c r="Q83" s="86">
        <f t="shared" si="457"/>
        <v>0</v>
      </c>
      <c r="R83" s="86">
        <f t="shared" si="457"/>
        <v>0</v>
      </c>
      <c r="S83" s="86">
        <f t="shared" si="457"/>
        <v>0</v>
      </c>
      <c r="T83" s="86">
        <f t="shared" si="457"/>
        <v>0</v>
      </c>
      <c r="U83" s="86">
        <f t="shared" si="457"/>
        <v>0</v>
      </c>
      <c r="V83" s="86">
        <f t="shared" si="457"/>
        <v>0</v>
      </c>
      <c r="W83" s="86">
        <f t="shared" si="457"/>
        <v>0</v>
      </c>
      <c r="X83" s="86">
        <f t="shared" si="457"/>
        <v>0</v>
      </c>
      <c r="Y83" s="86">
        <f t="shared" si="457"/>
        <v>0</v>
      </c>
      <c r="Z83" s="86">
        <f t="shared" si="457"/>
        <v>0</v>
      </c>
      <c r="AA83" s="86">
        <f t="shared" si="457"/>
        <v>0</v>
      </c>
      <c r="AB83" s="86">
        <f t="shared" si="457"/>
        <v>0</v>
      </c>
      <c r="AC83" s="86">
        <f t="shared" ref="AC83" si="458">SUM(AC77:AC82)</f>
        <v>0</v>
      </c>
      <c r="AD83" s="86">
        <f>SUM(AD77:AD82)</f>
        <v>0</v>
      </c>
      <c r="AE83" s="86">
        <f>SUM(AE77:AE82)</f>
        <v>0</v>
      </c>
      <c r="AF83" s="86">
        <f t="shared" ref="AF83" si="459">SUM(AF77:AF82)</f>
        <v>0</v>
      </c>
      <c r="AG83" s="86">
        <f t="shared" ref="AG83" si="460">SUM(AG77:AG82)</f>
        <v>0</v>
      </c>
      <c r="AH83" s="86">
        <f>SUM(AH77:AH82)</f>
        <v>0</v>
      </c>
      <c r="AI83" s="86">
        <f>SUM(AI77:AI82)</f>
        <v>0</v>
      </c>
      <c r="AJ83" s="86">
        <f t="shared" ref="AJ83" si="461">SUM(AJ77:AJ82)</f>
        <v>0</v>
      </c>
      <c r="AK83" s="86">
        <f t="shared" ref="AK83:AU83" si="462">SUM(AK77:AK82)</f>
        <v>0</v>
      </c>
      <c r="AL83" s="86">
        <f t="shared" si="462"/>
        <v>0</v>
      </c>
      <c r="AM83" s="86">
        <f t="shared" si="462"/>
        <v>0</v>
      </c>
      <c r="AN83" s="86">
        <f t="shared" si="462"/>
        <v>0</v>
      </c>
      <c r="AO83" s="86">
        <f t="shared" si="462"/>
        <v>0</v>
      </c>
      <c r="AP83" s="86">
        <f t="shared" si="462"/>
        <v>0</v>
      </c>
      <c r="AQ83" s="86">
        <f t="shared" si="462"/>
        <v>0</v>
      </c>
      <c r="AR83" s="86">
        <f t="shared" si="462"/>
        <v>0</v>
      </c>
      <c r="AS83" s="86">
        <f t="shared" si="462"/>
        <v>0</v>
      </c>
      <c r="AT83" s="86">
        <f t="shared" si="462"/>
        <v>0</v>
      </c>
      <c r="AU83" s="86">
        <f t="shared" si="462"/>
        <v>0</v>
      </c>
      <c r="AV83" s="86">
        <f>SUM(AV77:AV82)</f>
        <v>0</v>
      </c>
      <c r="AW83" s="86">
        <f>SUM(AW77:AW82)</f>
        <v>0</v>
      </c>
      <c r="AX83" s="86">
        <f t="shared" si="455"/>
        <v>0</v>
      </c>
      <c r="AY83" s="86">
        <f t="shared" si="455"/>
        <v>0</v>
      </c>
      <c r="AZ83" s="86">
        <f t="shared" si="455"/>
        <v>0</v>
      </c>
      <c r="BA83" s="86">
        <f t="shared" si="455"/>
        <v>0</v>
      </c>
      <c r="BB83" s="86">
        <f t="shared" si="455"/>
        <v>0</v>
      </c>
      <c r="BC83" s="86">
        <f t="shared" si="455"/>
        <v>0</v>
      </c>
      <c r="BD83" s="86">
        <f t="shared" si="455"/>
        <v>0</v>
      </c>
      <c r="BE83" s="86">
        <f t="shared" si="455"/>
        <v>0</v>
      </c>
      <c r="BF83" s="86">
        <f>SUM(BF77:BF82)</f>
        <v>0</v>
      </c>
    </row>
    <row r="84" spans="1:58" s="18" customFormat="1" ht="14.1" customHeight="1">
      <c r="A84" s="412">
        <f t="shared" si="451"/>
        <v>78</v>
      </c>
      <c r="B84" s="6"/>
      <c r="C84" s="2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</row>
    <row r="85" spans="1:58" ht="14.1" customHeight="1">
      <c r="A85" s="412">
        <f t="shared" si="451"/>
        <v>79</v>
      </c>
      <c r="B85" s="3" t="s">
        <v>74</v>
      </c>
      <c r="C85" s="1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</row>
    <row r="86" spans="1:58" ht="14.1" customHeight="1">
      <c r="A86" s="412">
        <f t="shared" si="451"/>
        <v>80</v>
      </c>
      <c r="B86" s="89" t="s">
        <v>75</v>
      </c>
      <c r="C86" s="38">
        <f t="shared" ref="C86:C93" si="463">SUM(D86:BF86)</f>
        <v>0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3">
        <v>0</v>
      </c>
      <c r="S86" s="43">
        <v>0</v>
      </c>
      <c r="T86" s="43">
        <v>0</v>
      </c>
      <c r="U86" s="43">
        <v>0</v>
      </c>
      <c r="V86" s="43">
        <v>0</v>
      </c>
      <c r="W86" s="43">
        <v>0</v>
      </c>
      <c r="X86" s="43">
        <v>0</v>
      </c>
      <c r="Y86" s="43">
        <v>0</v>
      </c>
      <c r="Z86" s="43">
        <v>0</v>
      </c>
      <c r="AA86" s="43">
        <v>0</v>
      </c>
      <c r="AB86" s="43">
        <v>0</v>
      </c>
      <c r="AC86" s="43">
        <v>0</v>
      </c>
      <c r="AD86" s="43">
        <v>0</v>
      </c>
      <c r="AE86" s="43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0</v>
      </c>
      <c r="AR86" s="43">
        <v>0</v>
      </c>
      <c r="AS86" s="43">
        <v>0</v>
      </c>
      <c r="AT86" s="43">
        <v>0</v>
      </c>
      <c r="AU86" s="43">
        <v>0</v>
      </c>
      <c r="AV86" s="43">
        <v>0</v>
      </c>
      <c r="AW86" s="43">
        <v>0</v>
      </c>
      <c r="AX86" s="43">
        <v>0</v>
      </c>
      <c r="AY86" s="43">
        <v>0</v>
      </c>
      <c r="AZ86" s="43">
        <v>0</v>
      </c>
      <c r="BA86" s="43">
        <v>0</v>
      </c>
      <c r="BB86" s="43">
        <v>0</v>
      </c>
      <c r="BC86" s="43">
        <v>0</v>
      </c>
      <c r="BD86" s="43">
        <v>0</v>
      </c>
      <c r="BE86" s="43">
        <v>0</v>
      </c>
      <c r="BF86" s="43">
        <v>0</v>
      </c>
    </row>
    <row r="87" spans="1:58" ht="14.1" customHeight="1">
      <c r="A87" s="412">
        <f t="shared" si="451"/>
        <v>81</v>
      </c>
      <c r="B87" s="89" t="s">
        <v>76</v>
      </c>
      <c r="C87" s="38">
        <f t="shared" si="463"/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v>0</v>
      </c>
      <c r="AV87" s="10">
        <v>0</v>
      </c>
      <c r="AW87" s="10">
        <v>0</v>
      </c>
      <c r="AX87" s="10">
        <v>0</v>
      </c>
      <c r="AY87" s="10">
        <v>0</v>
      </c>
      <c r="AZ87" s="10">
        <v>0</v>
      </c>
      <c r="BA87" s="10">
        <v>0</v>
      </c>
      <c r="BB87" s="10">
        <v>0</v>
      </c>
      <c r="BC87" s="10">
        <v>0</v>
      </c>
      <c r="BD87" s="10">
        <v>0</v>
      </c>
      <c r="BE87" s="10">
        <v>0</v>
      </c>
      <c r="BF87" s="10">
        <v>0</v>
      </c>
    </row>
    <row r="88" spans="1:58" ht="14.1" customHeight="1">
      <c r="A88" s="412">
        <f t="shared" si="451"/>
        <v>82</v>
      </c>
      <c r="B88" s="89" t="s">
        <v>77</v>
      </c>
      <c r="C88" s="38">
        <f t="shared" si="463"/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10">
        <v>0</v>
      </c>
      <c r="AP88" s="10">
        <v>0</v>
      </c>
      <c r="AQ88" s="10">
        <v>0</v>
      </c>
      <c r="AR88" s="10">
        <v>0</v>
      </c>
      <c r="AS88" s="10">
        <v>0</v>
      </c>
      <c r="AT88" s="10">
        <v>0</v>
      </c>
      <c r="AU88" s="10">
        <v>0</v>
      </c>
      <c r="AV88" s="10">
        <v>0</v>
      </c>
      <c r="AW88" s="10">
        <v>0</v>
      </c>
      <c r="AX88" s="10">
        <v>0</v>
      </c>
      <c r="AY88" s="10">
        <v>0</v>
      </c>
      <c r="AZ88" s="10">
        <v>0</v>
      </c>
      <c r="BA88" s="10">
        <v>0</v>
      </c>
      <c r="BB88" s="10">
        <v>0</v>
      </c>
      <c r="BC88" s="10">
        <v>0</v>
      </c>
      <c r="BD88" s="10">
        <v>0</v>
      </c>
      <c r="BE88" s="10">
        <v>0</v>
      </c>
      <c r="BF88" s="10">
        <v>0</v>
      </c>
    </row>
    <row r="89" spans="1:58" ht="14.1" customHeight="1">
      <c r="A89" s="412">
        <f t="shared" si="451"/>
        <v>83</v>
      </c>
      <c r="B89" s="89" t="s">
        <v>78</v>
      </c>
      <c r="C89" s="38">
        <f t="shared" si="463"/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v>0</v>
      </c>
      <c r="AV89" s="10">
        <v>0</v>
      </c>
      <c r="AW89" s="10">
        <v>0</v>
      </c>
      <c r="AX89" s="10">
        <v>0</v>
      </c>
      <c r="AY89" s="10">
        <v>0</v>
      </c>
      <c r="AZ89" s="10">
        <v>0</v>
      </c>
      <c r="BA89" s="10">
        <v>0</v>
      </c>
      <c r="BB89" s="10">
        <v>0</v>
      </c>
      <c r="BC89" s="10">
        <v>0</v>
      </c>
      <c r="BD89" s="10">
        <v>0</v>
      </c>
      <c r="BE89" s="10">
        <v>0</v>
      </c>
      <c r="BF89" s="10">
        <v>0</v>
      </c>
    </row>
    <row r="90" spans="1:58" ht="14.1" customHeight="1">
      <c r="A90" s="412">
        <f t="shared" si="451"/>
        <v>84</v>
      </c>
      <c r="B90" s="89" t="s">
        <v>79</v>
      </c>
      <c r="C90" s="38">
        <f t="shared" si="463"/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  <c r="AK90" s="10">
        <v>0</v>
      </c>
      <c r="AL90" s="10">
        <v>0</v>
      </c>
      <c r="AM90" s="10">
        <v>0</v>
      </c>
      <c r="AN90" s="10">
        <v>0</v>
      </c>
      <c r="AO90" s="10">
        <v>0</v>
      </c>
      <c r="AP90" s="10">
        <v>0</v>
      </c>
      <c r="AQ90" s="10">
        <v>0</v>
      </c>
      <c r="AR90" s="10">
        <v>0</v>
      </c>
      <c r="AS90" s="10">
        <v>0</v>
      </c>
      <c r="AT90" s="10">
        <v>0</v>
      </c>
      <c r="AU90" s="10">
        <v>0</v>
      </c>
      <c r="AV90" s="10">
        <v>0</v>
      </c>
      <c r="AW90" s="10">
        <v>0</v>
      </c>
      <c r="AX90" s="10">
        <v>0</v>
      </c>
      <c r="AY90" s="10">
        <v>0</v>
      </c>
      <c r="AZ90" s="10">
        <v>0</v>
      </c>
      <c r="BA90" s="10">
        <v>0</v>
      </c>
      <c r="BB90" s="10">
        <v>0</v>
      </c>
      <c r="BC90" s="10">
        <v>0</v>
      </c>
      <c r="BD90" s="10">
        <v>0</v>
      </c>
      <c r="BE90" s="10">
        <v>0</v>
      </c>
      <c r="BF90" s="10">
        <v>0</v>
      </c>
    </row>
    <row r="91" spans="1:58" ht="14.1" customHeight="1">
      <c r="A91" s="412">
        <f t="shared" si="451"/>
        <v>85</v>
      </c>
      <c r="B91" s="89" t="s">
        <v>80</v>
      </c>
      <c r="C91" s="38">
        <f t="shared" si="463"/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v>0</v>
      </c>
      <c r="AV91" s="10">
        <v>0</v>
      </c>
      <c r="AW91" s="10">
        <v>0</v>
      </c>
      <c r="AX91" s="10">
        <v>0</v>
      </c>
      <c r="AY91" s="10">
        <v>0</v>
      </c>
      <c r="AZ91" s="10">
        <v>0</v>
      </c>
      <c r="BA91" s="10">
        <v>0</v>
      </c>
      <c r="BB91" s="10">
        <v>0</v>
      </c>
      <c r="BC91" s="10">
        <v>0</v>
      </c>
      <c r="BD91" s="10">
        <v>0</v>
      </c>
      <c r="BE91" s="10">
        <v>0</v>
      </c>
      <c r="BF91" s="10">
        <v>0</v>
      </c>
    </row>
    <row r="92" spans="1:58" ht="14.1" customHeight="1">
      <c r="A92" s="412">
        <f t="shared" si="451"/>
        <v>86</v>
      </c>
      <c r="B92" s="89" t="s">
        <v>81</v>
      </c>
      <c r="C92" s="38">
        <f t="shared" si="463"/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v>0</v>
      </c>
      <c r="AN92" s="10">
        <v>0</v>
      </c>
      <c r="AO92" s="10">
        <v>0</v>
      </c>
      <c r="AP92" s="10">
        <v>0</v>
      </c>
      <c r="AQ92" s="10">
        <v>0</v>
      </c>
      <c r="AR92" s="10">
        <v>0</v>
      </c>
      <c r="AS92" s="10">
        <v>0</v>
      </c>
      <c r="AT92" s="10">
        <v>0</v>
      </c>
      <c r="AU92" s="10">
        <v>0</v>
      </c>
      <c r="AV92" s="10">
        <v>0</v>
      </c>
      <c r="AW92" s="10">
        <v>0</v>
      </c>
      <c r="AX92" s="10">
        <v>0</v>
      </c>
      <c r="AY92" s="10">
        <v>0</v>
      </c>
      <c r="AZ92" s="10">
        <v>0</v>
      </c>
      <c r="BA92" s="10">
        <v>0</v>
      </c>
      <c r="BB92" s="10">
        <v>0</v>
      </c>
      <c r="BC92" s="10">
        <v>0</v>
      </c>
      <c r="BD92" s="10">
        <v>0</v>
      </c>
      <c r="BE92" s="10">
        <v>0</v>
      </c>
      <c r="BF92" s="10">
        <v>0</v>
      </c>
    </row>
    <row r="93" spans="1:58" ht="13.5" customHeight="1">
      <c r="A93" s="412">
        <f t="shared" si="451"/>
        <v>87</v>
      </c>
      <c r="B93" s="56" t="s">
        <v>82</v>
      </c>
      <c r="C93" s="38">
        <f t="shared" si="463"/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v>0</v>
      </c>
      <c r="AV93" s="10">
        <v>0</v>
      </c>
      <c r="AW93" s="10">
        <v>0</v>
      </c>
      <c r="AX93" s="10">
        <v>0</v>
      </c>
      <c r="AY93" s="10">
        <v>0</v>
      </c>
      <c r="AZ93" s="10">
        <v>0</v>
      </c>
      <c r="BA93" s="10">
        <v>0</v>
      </c>
      <c r="BB93" s="10">
        <v>0</v>
      </c>
      <c r="BC93" s="10">
        <v>0</v>
      </c>
      <c r="BD93" s="10">
        <v>0</v>
      </c>
      <c r="BE93" s="10">
        <v>0</v>
      </c>
      <c r="BF93" s="10">
        <v>0</v>
      </c>
    </row>
    <row r="94" spans="1:58" s="18" customFormat="1" ht="14.1" customHeight="1">
      <c r="A94" s="412">
        <f t="shared" si="451"/>
        <v>88</v>
      </c>
      <c r="B94" s="2" t="s">
        <v>531</v>
      </c>
      <c r="C94" s="86">
        <f>SUM(C86:C93)</f>
        <v>0</v>
      </c>
      <c r="D94" s="86">
        <f>SUM(D86:D93)</f>
        <v>0</v>
      </c>
      <c r="E94" s="86">
        <f>SUM(E86:E93)</f>
        <v>0</v>
      </c>
      <c r="F94" s="86">
        <f t="shared" ref="F94" si="464">SUM(F86:F93)</f>
        <v>0</v>
      </c>
      <c r="G94" s="86">
        <f t="shared" ref="G94" si="465">SUM(G86:G93)</f>
        <v>0</v>
      </c>
      <c r="H94" s="86">
        <f t="shared" ref="H94:BE94" si="466">SUM(H86:H93)</f>
        <v>0</v>
      </c>
      <c r="I94" s="86">
        <f>SUM(I86:I93)</f>
        <v>0</v>
      </c>
      <c r="J94" s="86">
        <f>SUM(J86:J93)</f>
        <v>0</v>
      </c>
      <c r="K94" s="86">
        <f>SUM(K86:K93)</f>
        <v>0</v>
      </c>
      <c r="L94" s="86">
        <f t="shared" ref="L94" si="467">SUM(L86:L93)</f>
        <v>0</v>
      </c>
      <c r="M94" s="86">
        <f t="shared" ref="M94:AB94" si="468">SUM(M86:M93)</f>
        <v>0</v>
      </c>
      <c r="N94" s="86">
        <f t="shared" si="468"/>
        <v>0</v>
      </c>
      <c r="O94" s="86">
        <f t="shared" si="468"/>
        <v>0</v>
      </c>
      <c r="P94" s="86">
        <f t="shared" si="468"/>
        <v>0</v>
      </c>
      <c r="Q94" s="86">
        <f t="shared" si="468"/>
        <v>0</v>
      </c>
      <c r="R94" s="86">
        <f t="shared" si="468"/>
        <v>0</v>
      </c>
      <c r="S94" s="86">
        <f t="shared" si="468"/>
        <v>0</v>
      </c>
      <c r="T94" s="86">
        <f t="shared" si="468"/>
        <v>0</v>
      </c>
      <c r="U94" s="86">
        <f t="shared" si="468"/>
        <v>0</v>
      </c>
      <c r="V94" s="86">
        <f t="shared" si="468"/>
        <v>0</v>
      </c>
      <c r="W94" s="86">
        <f t="shared" si="468"/>
        <v>0</v>
      </c>
      <c r="X94" s="86">
        <f t="shared" si="468"/>
        <v>0</v>
      </c>
      <c r="Y94" s="86">
        <f t="shared" si="468"/>
        <v>0</v>
      </c>
      <c r="Z94" s="86">
        <f t="shared" si="468"/>
        <v>0</v>
      </c>
      <c r="AA94" s="86">
        <f t="shared" si="468"/>
        <v>0</v>
      </c>
      <c r="AB94" s="86">
        <f t="shared" si="468"/>
        <v>0</v>
      </c>
      <c r="AC94" s="86">
        <f t="shared" ref="AC94" si="469">SUM(AC86:AC93)</f>
        <v>0</v>
      </c>
      <c r="AD94" s="86">
        <f>SUM(AD86:AD93)</f>
        <v>0</v>
      </c>
      <c r="AE94" s="86">
        <f>SUM(AE86:AE93)</f>
        <v>0</v>
      </c>
      <c r="AF94" s="86">
        <f t="shared" ref="AF94" si="470">SUM(AF86:AF93)</f>
        <v>0</v>
      </c>
      <c r="AG94" s="86">
        <f t="shared" ref="AG94" si="471">SUM(AG86:AG93)</f>
        <v>0</v>
      </c>
      <c r="AH94" s="86">
        <f>SUM(AH86:AH93)</f>
        <v>0</v>
      </c>
      <c r="AI94" s="86">
        <f>SUM(AI86:AI93)</f>
        <v>0</v>
      </c>
      <c r="AJ94" s="86">
        <f t="shared" ref="AJ94" si="472">SUM(AJ86:AJ93)</f>
        <v>0</v>
      </c>
      <c r="AK94" s="86">
        <f t="shared" ref="AK94:AU94" si="473">SUM(AK86:AK93)</f>
        <v>0</v>
      </c>
      <c r="AL94" s="86">
        <f t="shared" si="473"/>
        <v>0</v>
      </c>
      <c r="AM94" s="86">
        <f t="shared" si="473"/>
        <v>0</v>
      </c>
      <c r="AN94" s="86">
        <f t="shared" si="473"/>
        <v>0</v>
      </c>
      <c r="AO94" s="86">
        <f t="shared" si="473"/>
        <v>0</v>
      </c>
      <c r="AP94" s="86">
        <f t="shared" si="473"/>
        <v>0</v>
      </c>
      <c r="AQ94" s="86">
        <f t="shared" si="473"/>
        <v>0</v>
      </c>
      <c r="AR94" s="86">
        <f t="shared" si="473"/>
        <v>0</v>
      </c>
      <c r="AS94" s="86">
        <f t="shared" si="473"/>
        <v>0</v>
      </c>
      <c r="AT94" s="86">
        <f t="shared" si="473"/>
        <v>0</v>
      </c>
      <c r="AU94" s="86">
        <f t="shared" si="473"/>
        <v>0</v>
      </c>
      <c r="AV94" s="86">
        <f>SUM(AV86:AV93)</f>
        <v>0</v>
      </c>
      <c r="AW94" s="86">
        <f>SUM(AW86:AW93)</f>
        <v>0</v>
      </c>
      <c r="AX94" s="86">
        <f t="shared" si="466"/>
        <v>0</v>
      </c>
      <c r="AY94" s="86">
        <f t="shared" si="466"/>
        <v>0</v>
      </c>
      <c r="AZ94" s="86">
        <f t="shared" si="466"/>
        <v>0</v>
      </c>
      <c r="BA94" s="86">
        <f t="shared" si="466"/>
        <v>0</v>
      </c>
      <c r="BB94" s="86">
        <f t="shared" si="466"/>
        <v>0</v>
      </c>
      <c r="BC94" s="86">
        <f t="shared" si="466"/>
        <v>0</v>
      </c>
      <c r="BD94" s="86">
        <f t="shared" si="466"/>
        <v>0</v>
      </c>
      <c r="BE94" s="86">
        <f t="shared" si="466"/>
        <v>0</v>
      </c>
      <c r="BF94" s="86">
        <f>SUM(BF86:BF93)</f>
        <v>0</v>
      </c>
    </row>
    <row r="95" spans="1:58" s="18" customFormat="1" ht="14.1" customHeight="1">
      <c r="A95" s="412">
        <f t="shared" si="451"/>
        <v>89</v>
      </c>
      <c r="B95" s="6"/>
      <c r="C95" s="25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</row>
    <row r="96" spans="1:58" ht="14.1" customHeight="1">
      <c r="A96" s="412">
        <f t="shared" si="451"/>
        <v>90</v>
      </c>
      <c r="B96" s="3" t="s">
        <v>83</v>
      </c>
      <c r="C96" s="1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</row>
    <row r="97" spans="1:58" ht="14.1" customHeight="1">
      <c r="A97" s="412">
        <f t="shared" si="451"/>
        <v>91</v>
      </c>
      <c r="B97" s="89" t="s">
        <v>84</v>
      </c>
      <c r="C97" s="38">
        <f t="shared" ref="C97:C103" si="474">SUM(D97:BF97)</f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v>0</v>
      </c>
      <c r="AV97" s="10">
        <v>0</v>
      </c>
      <c r="AW97" s="10">
        <v>0</v>
      </c>
      <c r="AX97" s="10">
        <v>0</v>
      </c>
      <c r="AY97" s="10">
        <v>0</v>
      </c>
      <c r="AZ97" s="10">
        <v>0</v>
      </c>
      <c r="BA97" s="10">
        <v>0</v>
      </c>
      <c r="BB97" s="10">
        <v>0</v>
      </c>
      <c r="BC97" s="10">
        <v>0</v>
      </c>
      <c r="BD97" s="10">
        <v>0</v>
      </c>
      <c r="BE97" s="10">
        <v>0</v>
      </c>
      <c r="BF97" s="10">
        <v>0</v>
      </c>
    </row>
    <row r="98" spans="1:58" ht="14.1" customHeight="1">
      <c r="A98" s="412">
        <f t="shared" si="451"/>
        <v>92</v>
      </c>
      <c r="B98" s="89" t="s">
        <v>85</v>
      </c>
      <c r="C98" s="38">
        <f t="shared" si="474"/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10">
        <v>0</v>
      </c>
      <c r="BF98" s="10">
        <v>0</v>
      </c>
    </row>
    <row r="99" spans="1:58" ht="14.1" customHeight="1">
      <c r="A99" s="412">
        <f t="shared" si="451"/>
        <v>93</v>
      </c>
      <c r="B99" s="89" t="s">
        <v>86</v>
      </c>
      <c r="C99" s="38">
        <f t="shared" si="474"/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v>0</v>
      </c>
      <c r="AV99" s="10">
        <v>0</v>
      </c>
      <c r="AW99" s="10">
        <v>0</v>
      </c>
      <c r="AX99" s="10">
        <v>0</v>
      </c>
      <c r="AY99" s="10">
        <v>0</v>
      </c>
      <c r="AZ99" s="10">
        <v>0</v>
      </c>
      <c r="BA99" s="10">
        <v>0</v>
      </c>
      <c r="BB99" s="10">
        <v>0</v>
      </c>
      <c r="BC99" s="10">
        <v>0</v>
      </c>
      <c r="BD99" s="10">
        <v>0</v>
      </c>
      <c r="BE99" s="10">
        <v>0</v>
      </c>
      <c r="BF99" s="10">
        <v>0</v>
      </c>
    </row>
    <row r="100" spans="1:58" ht="14.1" customHeight="1">
      <c r="A100" s="412">
        <f t="shared" si="451"/>
        <v>94</v>
      </c>
      <c r="B100" s="89" t="s">
        <v>87</v>
      </c>
      <c r="C100" s="38">
        <f t="shared" si="474"/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v>0</v>
      </c>
      <c r="AO100" s="10">
        <v>0</v>
      </c>
      <c r="AP100" s="10">
        <v>0</v>
      </c>
      <c r="AQ100" s="10">
        <v>0</v>
      </c>
      <c r="AR100" s="10">
        <v>0</v>
      </c>
      <c r="AS100" s="10">
        <v>0</v>
      </c>
      <c r="AT100" s="10">
        <v>0</v>
      </c>
      <c r="AU100" s="10">
        <v>0</v>
      </c>
      <c r="AV100" s="10">
        <v>0</v>
      </c>
      <c r="AW100" s="10">
        <v>0</v>
      </c>
      <c r="AX100" s="10">
        <v>0</v>
      </c>
      <c r="AY100" s="10">
        <v>0</v>
      </c>
      <c r="AZ100" s="10">
        <v>0</v>
      </c>
      <c r="BA100" s="10">
        <v>0</v>
      </c>
      <c r="BB100" s="10">
        <v>0</v>
      </c>
      <c r="BC100" s="10">
        <v>0</v>
      </c>
      <c r="BD100" s="10">
        <v>0</v>
      </c>
      <c r="BE100" s="10">
        <v>0</v>
      </c>
      <c r="BF100" s="10">
        <v>0</v>
      </c>
    </row>
    <row r="101" spans="1:58" ht="14.1" customHeight="1">
      <c r="A101" s="412">
        <f t="shared" si="451"/>
        <v>95</v>
      </c>
      <c r="B101" s="89" t="s">
        <v>88</v>
      </c>
      <c r="C101" s="38">
        <f t="shared" si="474"/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10">
        <v>0</v>
      </c>
      <c r="BF101" s="10">
        <v>0</v>
      </c>
    </row>
    <row r="102" spans="1:58" ht="14.1" customHeight="1">
      <c r="A102" s="412">
        <f t="shared" si="451"/>
        <v>96</v>
      </c>
      <c r="B102" s="89" t="s">
        <v>89</v>
      </c>
      <c r="C102" s="38">
        <f t="shared" si="474"/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10">
        <v>0</v>
      </c>
      <c r="AP102" s="10">
        <v>0</v>
      </c>
      <c r="AQ102" s="10">
        <v>0</v>
      </c>
      <c r="AR102" s="10">
        <v>0</v>
      </c>
      <c r="AS102" s="10">
        <v>0</v>
      </c>
      <c r="AT102" s="10">
        <v>0</v>
      </c>
      <c r="AU102" s="10">
        <v>0</v>
      </c>
      <c r="AV102" s="10">
        <v>0</v>
      </c>
      <c r="AW102" s="10">
        <v>0</v>
      </c>
      <c r="AX102" s="10">
        <v>0</v>
      </c>
      <c r="AY102" s="10">
        <v>0</v>
      </c>
      <c r="AZ102" s="10">
        <v>0</v>
      </c>
      <c r="BA102" s="10">
        <v>0</v>
      </c>
      <c r="BB102" s="10">
        <v>0</v>
      </c>
      <c r="BC102" s="10">
        <v>0</v>
      </c>
      <c r="BD102" s="10">
        <v>0</v>
      </c>
      <c r="BE102" s="10">
        <v>0</v>
      </c>
      <c r="BF102" s="10">
        <v>0</v>
      </c>
    </row>
    <row r="103" spans="1:58" ht="14.1" customHeight="1">
      <c r="A103" s="412">
        <f t="shared" si="451"/>
        <v>97</v>
      </c>
      <c r="B103" s="56" t="s">
        <v>90</v>
      </c>
      <c r="C103" s="38">
        <f t="shared" si="474"/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v>0</v>
      </c>
      <c r="AV103" s="10">
        <v>0</v>
      </c>
      <c r="AW103" s="10">
        <v>0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  <c r="BC103" s="10">
        <v>0</v>
      </c>
      <c r="BD103" s="10">
        <v>0</v>
      </c>
      <c r="BE103" s="10">
        <v>0</v>
      </c>
      <c r="BF103" s="10">
        <v>0</v>
      </c>
    </row>
    <row r="104" spans="1:58" s="18" customFormat="1" ht="14.1" customHeight="1">
      <c r="A104" s="412">
        <f t="shared" si="451"/>
        <v>98</v>
      </c>
      <c r="B104" s="2" t="s">
        <v>532</v>
      </c>
      <c r="C104" s="86">
        <f>SUM(C96:C103)</f>
        <v>0</v>
      </c>
      <c r="D104" s="86">
        <f>SUM(D96:D103)</f>
        <v>0</v>
      </c>
      <c r="E104" s="86">
        <f>SUM(E96:E103)</f>
        <v>0</v>
      </c>
      <c r="F104" s="86">
        <f t="shared" ref="F104" si="475">SUM(F96:F103)</f>
        <v>0</v>
      </c>
      <c r="G104" s="86">
        <f t="shared" ref="G104" si="476">SUM(G96:G103)</f>
        <v>0</v>
      </c>
      <c r="H104" s="86">
        <f t="shared" ref="H104:BE104" si="477">SUM(H96:H103)</f>
        <v>0</v>
      </c>
      <c r="I104" s="86">
        <f>SUM(I96:I103)</f>
        <v>0</v>
      </c>
      <c r="J104" s="86">
        <f>SUM(J96:J103)</f>
        <v>0</v>
      </c>
      <c r="K104" s="86">
        <f>SUM(K96:K103)</f>
        <v>0</v>
      </c>
      <c r="L104" s="86">
        <f t="shared" ref="L104" si="478">SUM(L96:L103)</f>
        <v>0</v>
      </c>
      <c r="M104" s="86">
        <f t="shared" ref="M104:AB104" si="479">SUM(M96:M103)</f>
        <v>0</v>
      </c>
      <c r="N104" s="86">
        <f t="shared" si="479"/>
        <v>0</v>
      </c>
      <c r="O104" s="86">
        <f t="shared" si="479"/>
        <v>0</v>
      </c>
      <c r="P104" s="86">
        <f t="shared" si="479"/>
        <v>0</v>
      </c>
      <c r="Q104" s="86">
        <f t="shared" si="479"/>
        <v>0</v>
      </c>
      <c r="R104" s="86">
        <f t="shared" si="479"/>
        <v>0</v>
      </c>
      <c r="S104" s="86">
        <f t="shared" si="479"/>
        <v>0</v>
      </c>
      <c r="T104" s="86">
        <f t="shared" si="479"/>
        <v>0</v>
      </c>
      <c r="U104" s="86">
        <f t="shared" si="479"/>
        <v>0</v>
      </c>
      <c r="V104" s="86">
        <f t="shared" si="479"/>
        <v>0</v>
      </c>
      <c r="W104" s="86">
        <f t="shared" si="479"/>
        <v>0</v>
      </c>
      <c r="X104" s="86">
        <f t="shared" si="479"/>
        <v>0</v>
      </c>
      <c r="Y104" s="86">
        <f t="shared" si="479"/>
        <v>0</v>
      </c>
      <c r="Z104" s="86">
        <f t="shared" si="479"/>
        <v>0</v>
      </c>
      <c r="AA104" s="86">
        <f t="shared" si="479"/>
        <v>0</v>
      </c>
      <c r="AB104" s="86">
        <f t="shared" si="479"/>
        <v>0</v>
      </c>
      <c r="AC104" s="86">
        <f t="shared" ref="AC104" si="480">SUM(AC96:AC103)</f>
        <v>0</v>
      </c>
      <c r="AD104" s="86">
        <f>SUM(AD96:AD103)</f>
        <v>0</v>
      </c>
      <c r="AE104" s="86">
        <f>SUM(AE96:AE103)</f>
        <v>0</v>
      </c>
      <c r="AF104" s="86">
        <f t="shared" ref="AF104" si="481">SUM(AF96:AF103)</f>
        <v>0</v>
      </c>
      <c r="AG104" s="86">
        <f t="shared" ref="AG104" si="482">SUM(AG96:AG103)</f>
        <v>0</v>
      </c>
      <c r="AH104" s="86">
        <f>SUM(AH96:AH103)</f>
        <v>0</v>
      </c>
      <c r="AI104" s="86">
        <f>SUM(AI96:AI103)</f>
        <v>0</v>
      </c>
      <c r="AJ104" s="86">
        <f t="shared" ref="AJ104" si="483">SUM(AJ96:AJ103)</f>
        <v>0</v>
      </c>
      <c r="AK104" s="86">
        <f t="shared" ref="AK104:AU104" si="484">SUM(AK96:AK103)</f>
        <v>0</v>
      </c>
      <c r="AL104" s="86">
        <f t="shared" si="484"/>
        <v>0</v>
      </c>
      <c r="AM104" s="86">
        <f t="shared" si="484"/>
        <v>0</v>
      </c>
      <c r="AN104" s="86">
        <f t="shared" si="484"/>
        <v>0</v>
      </c>
      <c r="AO104" s="86">
        <f t="shared" si="484"/>
        <v>0</v>
      </c>
      <c r="AP104" s="86">
        <f t="shared" si="484"/>
        <v>0</v>
      </c>
      <c r="AQ104" s="86">
        <f t="shared" si="484"/>
        <v>0</v>
      </c>
      <c r="AR104" s="86">
        <f t="shared" si="484"/>
        <v>0</v>
      </c>
      <c r="AS104" s="86">
        <f t="shared" si="484"/>
        <v>0</v>
      </c>
      <c r="AT104" s="86">
        <f t="shared" si="484"/>
        <v>0</v>
      </c>
      <c r="AU104" s="86">
        <f t="shared" si="484"/>
        <v>0</v>
      </c>
      <c r="AV104" s="86">
        <f>SUM(AV96:AV103)</f>
        <v>0</v>
      </c>
      <c r="AW104" s="86">
        <f>SUM(AW96:AW103)</f>
        <v>0</v>
      </c>
      <c r="AX104" s="86">
        <f t="shared" si="477"/>
        <v>0</v>
      </c>
      <c r="AY104" s="86">
        <f t="shared" si="477"/>
        <v>0</v>
      </c>
      <c r="AZ104" s="86">
        <f t="shared" si="477"/>
        <v>0</v>
      </c>
      <c r="BA104" s="86">
        <f t="shared" si="477"/>
        <v>0</v>
      </c>
      <c r="BB104" s="86">
        <f t="shared" si="477"/>
        <v>0</v>
      </c>
      <c r="BC104" s="86">
        <f t="shared" si="477"/>
        <v>0</v>
      </c>
      <c r="BD104" s="86">
        <f t="shared" si="477"/>
        <v>0</v>
      </c>
      <c r="BE104" s="86">
        <f t="shared" si="477"/>
        <v>0</v>
      </c>
      <c r="BF104" s="86">
        <f>SUM(BF96:BF103)</f>
        <v>0</v>
      </c>
    </row>
    <row r="105" spans="1:58" s="18" customFormat="1" ht="14.1" customHeight="1">
      <c r="A105" s="412">
        <f t="shared" si="451"/>
        <v>99</v>
      </c>
      <c r="B105" s="6"/>
      <c r="C105" s="25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</row>
    <row r="106" spans="1:58" s="18" customFormat="1" ht="14.1" customHeight="1">
      <c r="A106" s="412">
        <f t="shared" si="451"/>
        <v>100</v>
      </c>
      <c r="B106" s="60" t="s">
        <v>494</v>
      </c>
      <c r="C106" s="212">
        <f>SUM(D106:BF106)</f>
        <v>-323154089</v>
      </c>
      <c r="D106" s="212">
        <f>D104+D94+D83+D74</f>
        <v>0</v>
      </c>
      <c r="E106" s="212">
        <f>E104+E94+E83+E74</f>
        <v>0</v>
      </c>
      <c r="F106" s="212">
        <f t="shared" ref="F106:BF106" si="485">F104+F94+F83+F74</f>
        <v>0</v>
      </c>
      <c r="G106" s="212">
        <f>G104+G94+G83+G74</f>
        <v>-323154089</v>
      </c>
      <c r="H106" s="212">
        <f t="shared" si="485"/>
        <v>0</v>
      </c>
      <c r="I106" s="212">
        <f t="shared" si="485"/>
        <v>0</v>
      </c>
      <c r="J106" s="212">
        <f t="shared" si="485"/>
        <v>0</v>
      </c>
      <c r="K106" s="212">
        <f t="shared" si="485"/>
        <v>0</v>
      </c>
      <c r="L106" s="212">
        <f t="shared" si="485"/>
        <v>0</v>
      </c>
      <c r="M106" s="212">
        <f t="shared" si="485"/>
        <v>0</v>
      </c>
      <c r="N106" s="212">
        <f t="shared" si="485"/>
        <v>0</v>
      </c>
      <c r="O106" s="212">
        <f t="shared" si="485"/>
        <v>0</v>
      </c>
      <c r="P106" s="212">
        <f t="shared" si="485"/>
        <v>0</v>
      </c>
      <c r="Q106" s="212">
        <f t="shared" si="485"/>
        <v>0</v>
      </c>
      <c r="R106" s="212">
        <f t="shared" si="485"/>
        <v>0</v>
      </c>
      <c r="S106" s="212">
        <f t="shared" si="485"/>
        <v>0</v>
      </c>
      <c r="T106" s="212">
        <f t="shared" si="485"/>
        <v>0</v>
      </c>
      <c r="U106" s="212">
        <f t="shared" si="485"/>
        <v>0</v>
      </c>
      <c r="V106" s="212">
        <f t="shared" si="485"/>
        <v>0</v>
      </c>
      <c r="W106" s="212">
        <f t="shared" si="485"/>
        <v>0</v>
      </c>
      <c r="X106" s="212">
        <f t="shared" si="485"/>
        <v>0</v>
      </c>
      <c r="Y106" s="212">
        <f t="shared" si="485"/>
        <v>0</v>
      </c>
      <c r="Z106" s="212">
        <f t="shared" si="485"/>
        <v>0</v>
      </c>
      <c r="AA106" s="212">
        <f t="shared" si="485"/>
        <v>0</v>
      </c>
      <c r="AB106" s="212">
        <f t="shared" si="485"/>
        <v>0</v>
      </c>
      <c r="AC106" s="212">
        <f t="shared" si="485"/>
        <v>0</v>
      </c>
      <c r="AD106" s="212">
        <f t="shared" si="485"/>
        <v>0</v>
      </c>
      <c r="AE106" s="212">
        <f t="shared" si="485"/>
        <v>0</v>
      </c>
      <c r="AF106" s="212">
        <f t="shared" si="485"/>
        <v>0</v>
      </c>
      <c r="AG106" s="212">
        <f t="shared" si="485"/>
        <v>0</v>
      </c>
      <c r="AH106" s="212">
        <f t="shared" si="485"/>
        <v>0</v>
      </c>
      <c r="AI106" s="212">
        <f t="shared" si="485"/>
        <v>0</v>
      </c>
      <c r="AJ106" s="212">
        <f t="shared" si="485"/>
        <v>0</v>
      </c>
      <c r="AK106" s="212">
        <f t="shared" si="485"/>
        <v>0</v>
      </c>
      <c r="AL106" s="212">
        <f t="shared" si="485"/>
        <v>0</v>
      </c>
      <c r="AM106" s="212">
        <f t="shared" si="485"/>
        <v>0</v>
      </c>
      <c r="AN106" s="212">
        <f t="shared" si="485"/>
        <v>0</v>
      </c>
      <c r="AO106" s="212">
        <f t="shared" si="485"/>
        <v>0</v>
      </c>
      <c r="AP106" s="212">
        <f t="shared" si="485"/>
        <v>0</v>
      </c>
      <c r="AQ106" s="212">
        <f t="shared" si="485"/>
        <v>0</v>
      </c>
      <c r="AR106" s="212">
        <f t="shared" si="485"/>
        <v>0</v>
      </c>
      <c r="AS106" s="212">
        <f t="shared" si="485"/>
        <v>0</v>
      </c>
      <c r="AT106" s="212">
        <f t="shared" si="485"/>
        <v>0</v>
      </c>
      <c r="AU106" s="212">
        <f t="shared" si="485"/>
        <v>0</v>
      </c>
      <c r="AV106" s="212">
        <f t="shared" si="485"/>
        <v>0</v>
      </c>
      <c r="AW106" s="212">
        <f t="shared" si="485"/>
        <v>0</v>
      </c>
      <c r="AX106" s="212">
        <f t="shared" si="485"/>
        <v>0</v>
      </c>
      <c r="AY106" s="212">
        <f t="shared" si="485"/>
        <v>0</v>
      </c>
      <c r="AZ106" s="212">
        <f t="shared" si="485"/>
        <v>0</v>
      </c>
      <c r="BA106" s="212">
        <f t="shared" si="485"/>
        <v>0</v>
      </c>
      <c r="BB106" s="212">
        <f t="shared" si="485"/>
        <v>0</v>
      </c>
      <c r="BC106" s="212">
        <f t="shared" si="485"/>
        <v>0</v>
      </c>
      <c r="BD106" s="212">
        <f t="shared" si="485"/>
        <v>0</v>
      </c>
      <c r="BE106" s="212">
        <f t="shared" si="485"/>
        <v>0</v>
      </c>
      <c r="BF106" s="212">
        <f t="shared" si="485"/>
        <v>0</v>
      </c>
    </row>
    <row r="107" spans="1:58" s="18" customFormat="1" ht="14.1" customHeight="1">
      <c r="A107" s="412">
        <f t="shared" si="451"/>
        <v>101</v>
      </c>
      <c r="B107" s="2"/>
      <c r="C107" s="160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</row>
    <row r="108" spans="1:58" ht="14.1" customHeight="1">
      <c r="A108" s="412">
        <f t="shared" si="451"/>
        <v>102</v>
      </c>
      <c r="B108" s="89" t="s">
        <v>91</v>
      </c>
      <c r="C108" s="38">
        <f>SUM(D108:BF108)</f>
        <v>0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3">
        <v>0</v>
      </c>
      <c r="X108" s="43">
        <v>0</v>
      </c>
      <c r="Y108" s="43">
        <v>0</v>
      </c>
      <c r="Z108" s="43">
        <v>0</v>
      </c>
      <c r="AA108" s="43">
        <v>0</v>
      </c>
      <c r="AB108" s="43">
        <v>0</v>
      </c>
      <c r="AC108" s="43">
        <v>0</v>
      </c>
      <c r="AD108" s="43">
        <v>0</v>
      </c>
      <c r="AE108" s="43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S108" s="43">
        <v>0</v>
      </c>
      <c r="AT108" s="43">
        <v>0</v>
      </c>
      <c r="AU108" s="43">
        <v>0</v>
      </c>
      <c r="AV108" s="43">
        <v>0</v>
      </c>
      <c r="AW108" s="43">
        <v>0</v>
      </c>
      <c r="AX108" s="43">
        <v>0</v>
      </c>
      <c r="AY108" s="43">
        <v>0</v>
      </c>
      <c r="AZ108" s="43">
        <v>0</v>
      </c>
      <c r="BA108" s="43">
        <v>0</v>
      </c>
      <c r="BB108" s="43">
        <v>0</v>
      </c>
      <c r="BC108" s="43">
        <v>0</v>
      </c>
      <c r="BD108" s="43">
        <v>0</v>
      </c>
      <c r="BE108" s="43">
        <v>0</v>
      </c>
      <c r="BF108" s="43">
        <v>0</v>
      </c>
    </row>
    <row r="109" spans="1:58" ht="14.1" customHeight="1">
      <c r="A109" s="412">
        <f t="shared" si="451"/>
        <v>103</v>
      </c>
      <c r="B109" s="56" t="s">
        <v>92</v>
      </c>
      <c r="C109" s="38">
        <f>SUM(D109:BF109)</f>
        <v>0</v>
      </c>
      <c r="D109" s="64">
        <v>0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  <c r="T109" s="64">
        <v>0</v>
      </c>
      <c r="U109" s="64">
        <v>0</v>
      </c>
      <c r="V109" s="64">
        <v>0</v>
      </c>
      <c r="W109" s="64">
        <v>0</v>
      </c>
      <c r="X109" s="64">
        <v>0</v>
      </c>
      <c r="Y109" s="64">
        <v>0</v>
      </c>
      <c r="Z109" s="64">
        <v>0</v>
      </c>
      <c r="AA109" s="64">
        <v>0</v>
      </c>
      <c r="AB109" s="64">
        <v>0</v>
      </c>
      <c r="AC109" s="64">
        <v>0</v>
      </c>
      <c r="AD109" s="64">
        <v>0</v>
      </c>
      <c r="AE109" s="64">
        <v>0</v>
      </c>
      <c r="AF109" s="64">
        <v>0</v>
      </c>
      <c r="AG109" s="64">
        <v>0</v>
      </c>
      <c r="AH109" s="64">
        <v>0</v>
      </c>
      <c r="AI109" s="64">
        <v>0</v>
      </c>
      <c r="AJ109" s="64">
        <v>0</v>
      </c>
      <c r="AK109" s="64">
        <v>0</v>
      </c>
      <c r="AL109" s="64">
        <v>0</v>
      </c>
      <c r="AM109" s="64">
        <v>0</v>
      </c>
      <c r="AN109" s="64">
        <v>0</v>
      </c>
      <c r="AO109" s="64">
        <v>0</v>
      </c>
      <c r="AP109" s="64">
        <v>0</v>
      </c>
      <c r="AQ109" s="64">
        <v>0</v>
      </c>
      <c r="AR109" s="64">
        <v>0</v>
      </c>
      <c r="AS109" s="64">
        <v>0</v>
      </c>
      <c r="AT109" s="64">
        <v>0</v>
      </c>
      <c r="AU109" s="64">
        <v>0</v>
      </c>
      <c r="AV109" s="64">
        <v>0</v>
      </c>
      <c r="AW109" s="64">
        <v>0</v>
      </c>
      <c r="AX109" s="64">
        <v>0</v>
      </c>
      <c r="AY109" s="64">
        <v>0</v>
      </c>
      <c r="AZ109" s="64">
        <v>0</v>
      </c>
      <c r="BA109" s="64">
        <v>0</v>
      </c>
      <c r="BB109" s="64">
        <v>0</v>
      </c>
      <c r="BC109" s="64">
        <v>0</v>
      </c>
      <c r="BD109" s="64">
        <v>0</v>
      </c>
      <c r="BE109" s="64">
        <v>0</v>
      </c>
      <c r="BF109" s="64">
        <v>0</v>
      </c>
    </row>
    <row r="110" spans="1:58" s="18" customFormat="1" ht="14.1" customHeight="1">
      <c r="A110" s="412">
        <f t="shared" si="451"/>
        <v>104</v>
      </c>
      <c r="B110" s="2" t="s">
        <v>981</v>
      </c>
      <c r="C110" s="47">
        <f>C109+C108</f>
        <v>0</v>
      </c>
      <c r="D110" s="47">
        <f t="shared" ref="D110:BF110" si="486">D109+D108</f>
        <v>0</v>
      </c>
      <c r="E110" s="47">
        <f t="shared" si="486"/>
        <v>0</v>
      </c>
      <c r="F110" s="47">
        <f t="shared" si="486"/>
        <v>0</v>
      </c>
      <c r="G110" s="47">
        <f t="shared" si="486"/>
        <v>0</v>
      </c>
      <c r="H110" s="47">
        <f t="shared" si="486"/>
        <v>0</v>
      </c>
      <c r="I110" s="47">
        <f t="shared" si="486"/>
        <v>0</v>
      </c>
      <c r="J110" s="47">
        <f t="shared" si="486"/>
        <v>0</v>
      </c>
      <c r="K110" s="47">
        <f t="shared" si="486"/>
        <v>0</v>
      </c>
      <c r="L110" s="47">
        <f t="shared" si="486"/>
        <v>0</v>
      </c>
      <c r="M110" s="47">
        <f t="shared" si="486"/>
        <v>0</v>
      </c>
      <c r="N110" s="47">
        <f t="shared" si="486"/>
        <v>0</v>
      </c>
      <c r="O110" s="47">
        <f t="shared" si="486"/>
        <v>0</v>
      </c>
      <c r="P110" s="47">
        <f t="shared" si="486"/>
        <v>0</v>
      </c>
      <c r="Q110" s="47">
        <f t="shared" si="486"/>
        <v>0</v>
      </c>
      <c r="R110" s="47">
        <f t="shared" si="486"/>
        <v>0</v>
      </c>
      <c r="S110" s="47">
        <f t="shared" si="486"/>
        <v>0</v>
      </c>
      <c r="T110" s="47">
        <f t="shared" si="486"/>
        <v>0</v>
      </c>
      <c r="U110" s="47">
        <f t="shared" si="486"/>
        <v>0</v>
      </c>
      <c r="V110" s="47">
        <f t="shared" si="486"/>
        <v>0</v>
      </c>
      <c r="W110" s="47">
        <f t="shared" si="486"/>
        <v>0</v>
      </c>
      <c r="X110" s="47">
        <f t="shared" si="486"/>
        <v>0</v>
      </c>
      <c r="Y110" s="47">
        <f t="shared" si="486"/>
        <v>0</v>
      </c>
      <c r="Z110" s="47">
        <f t="shared" si="486"/>
        <v>0</v>
      </c>
      <c r="AA110" s="47">
        <f t="shared" si="486"/>
        <v>0</v>
      </c>
      <c r="AB110" s="47">
        <f t="shared" si="486"/>
        <v>0</v>
      </c>
      <c r="AC110" s="47">
        <f t="shared" si="486"/>
        <v>0</v>
      </c>
      <c r="AD110" s="47">
        <f t="shared" si="486"/>
        <v>0</v>
      </c>
      <c r="AE110" s="47">
        <f t="shared" si="486"/>
        <v>0</v>
      </c>
      <c r="AF110" s="47">
        <f t="shared" si="486"/>
        <v>0</v>
      </c>
      <c r="AG110" s="47">
        <f t="shared" si="486"/>
        <v>0</v>
      </c>
      <c r="AH110" s="47">
        <f t="shared" si="486"/>
        <v>0</v>
      </c>
      <c r="AI110" s="47">
        <f t="shared" si="486"/>
        <v>0</v>
      </c>
      <c r="AJ110" s="47">
        <f t="shared" si="486"/>
        <v>0</v>
      </c>
      <c r="AK110" s="47">
        <f t="shared" si="486"/>
        <v>0</v>
      </c>
      <c r="AL110" s="47">
        <f t="shared" si="486"/>
        <v>0</v>
      </c>
      <c r="AM110" s="47">
        <f t="shared" si="486"/>
        <v>0</v>
      </c>
      <c r="AN110" s="47">
        <f t="shared" si="486"/>
        <v>0</v>
      </c>
      <c r="AO110" s="47">
        <f t="shared" si="486"/>
        <v>0</v>
      </c>
      <c r="AP110" s="47">
        <f t="shared" si="486"/>
        <v>0</v>
      </c>
      <c r="AQ110" s="47">
        <f t="shared" si="486"/>
        <v>0</v>
      </c>
      <c r="AR110" s="47">
        <f t="shared" si="486"/>
        <v>0</v>
      </c>
      <c r="AS110" s="47">
        <f t="shared" si="486"/>
        <v>0</v>
      </c>
      <c r="AT110" s="47">
        <f t="shared" si="486"/>
        <v>0</v>
      </c>
      <c r="AU110" s="47">
        <f t="shared" si="486"/>
        <v>0</v>
      </c>
      <c r="AV110" s="47">
        <f t="shared" si="486"/>
        <v>0</v>
      </c>
      <c r="AW110" s="47">
        <f t="shared" si="486"/>
        <v>0</v>
      </c>
      <c r="AX110" s="47">
        <f t="shared" si="486"/>
        <v>0</v>
      </c>
      <c r="AY110" s="47">
        <f t="shared" si="486"/>
        <v>0</v>
      </c>
      <c r="AZ110" s="47">
        <f t="shared" si="486"/>
        <v>0</v>
      </c>
      <c r="BA110" s="47">
        <f t="shared" si="486"/>
        <v>0</v>
      </c>
      <c r="BB110" s="47">
        <f t="shared" si="486"/>
        <v>0</v>
      </c>
      <c r="BC110" s="47">
        <f t="shared" si="486"/>
        <v>0</v>
      </c>
      <c r="BD110" s="47">
        <f t="shared" si="486"/>
        <v>0</v>
      </c>
      <c r="BE110" s="47">
        <f t="shared" si="486"/>
        <v>0</v>
      </c>
      <c r="BF110" s="47">
        <f t="shared" si="486"/>
        <v>0</v>
      </c>
    </row>
    <row r="111" spans="1:58" s="18" customFormat="1" ht="14.1" customHeight="1">
      <c r="A111" s="412">
        <f t="shared" si="451"/>
        <v>105</v>
      </c>
      <c r="B111" s="6"/>
      <c r="C111" s="25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</row>
    <row r="112" spans="1:58" ht="14.1" customHeight="1">
      <c r="A112" s="412">
        <f t="shared" si="451"/>
        <v>106</v>
      </c>
      <c r="B112" s="3" t="s">
        <v>93</v>
      </c>
      <c r="C112" s="1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</row>
    <row r="113" spans="1:58" ht="14.1" customHeight="1">
      <c r="A113" s="412">
        <f t="shared" si="451"/>
        <v>107</v>
      </c>
      <c r="B113" s="89" t="s">
        <v>94</v>
      </c>
      <c r="C113" s="38">
        <f t="shared" ref="C113:C123" si="487">SUM(D113:BF113)</f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v>0</v>
      </c>
      <c r="AV113" s="10">
        <v>0</v>
      </c>
      <c r="AW113" s="10">
        <v>0</v>
      </c>
      <c r="AX113" s="10">
        <v>0</v>
      </c>
      <c r="AY113" s="10">
        <v>0</v>
      </c>
      <c r="AZ113" s="10">
        <v>0</v>
      </c>
      <c r="BA113" s="10">
        <v>0</v>
      </c>
      <c r="BB113" s="10">
        <v>0</v>
      </c>
      <c r="BC113" s="10">
        <v>0</v>
      </c>
      <c r="BD113" s="10">
        <v>0</v>
      </c>
      <c r="BE113" s="10">
        <v>0</v>
      </c>
      <c r="BF113" s="10">
        <v>0</v>
      </c>
    </row>
    <row r="114" spans="1:58" ht="14.1" customHeight="1">
      <c r="A114" s="412">
        <f t="shared" si="451"/>
        <v>108</v>
      </c>
      <c r="B114" s="89" t="s">
        <v>95</v>
      </c>
      <c r="C114" s="38">
        <f t="shared" si="487"/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>
        <v>0</v>
      </c>
      <c r="AM114" s="10">
        <v>0</v>
      </c>
      <c r="AN114" s="10">
        <v>0</v>
      </c>
      <c r="AO114" s="10">
        <v>0</v>
      </c>
      <c r="AP114" s="10">
        <v>0</v>
      </c>
      <c r="AQ114" s="10">
        <v>0</v>
      </c>
      <c r="AR114" s="10">
        <v>0</v>
      </c>
      <c r="AS114" s="10">
        <v>0</v>
      </c>
      <c r="AT114" s="10">
        <v>0</v>
      </c>
      <c r="AU114" s="10">
        <v>0</v>
      </c>
      <c r="AV114" s="10">
        <v>0</v>
      </c>
      <c r="AW114" s="10">
        <v>0</v>
      </c>
      <c r="AX114" s="10">
        <v>0</v>
      </c>
      <c r="AY114" s="10">
        <v>0</v>
      </c>
      <c r="AZ114" s="10">
        <v>0</v>
      </c>
      <c r="BA114" s="10">
        <v>0</v>
      </c>
      <c r="BB114" s="10">
        <v>0</v>
      </c>
      <c r="BC114" s="10">
        <v>0</v>
      </c>
      <c r="BD114" s="10">
        <v>0</v>
      </c>
      <c r="BE114" s="10">
        <v>0</v>
      </c>
      <c r="BF114" s="10">
        <v>0</v>
      </c>
    </row>
    <row r="115" spans="1:58" ht="14.1" customHeight="1">
      <c r="A115" s="412">
        <f t="shared" si="451"/>
        <v>109</v>
      </c>
      <c r="B115" s="89" t="s">
        <v>96</v>
      </c>
      <c r="C115" s="38">
        <f t="shared" si="487"/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v>0</v>
      </c>
      <c r="AV115" s="10">
        <v>0</v>
      </c>
      <c r="AW115" s="10">
        <v>0</v>
      </c>
      <c r="AX115" s="10">
        <v>0</v>
      </c>
      <c r="AY115" s="10">
        <v>0</v>
      </c>
      <c r="AZ115" s="10">
        <v>0</v>
      </c>
      <c r="BA115" s="10">
        <v>0</v>
      </c>
      <c r="BB115" s="10">
        <v>0</v>
      </c>
      <c r="BC115" s="10">
        <v>0</v>
      </c>
      <c r="BD115" s="10">
        <v>0</v>
      </c>
      <c r="BE115" s="10">
        <v>0</v>
      </c>
      <c r="BF115" s="10">
        <v>0</v>
      </c>
    </row>
    <row r="116" spans="1:58" ht="14.1" customHeight="1">
      <c r="A116" s="412">
        <f t="shared" si="451"/>
        <v>110</v>
      </c>
      <c r="B116" s="89" t="s">
        <v>97</v>
      </c>
      <c r="C116" s="38">
        <f t="shared" si="487"/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>
        <v>0</v>
      </c>
      <c r="AM116" s="10">
        <v>0</v>
      </c>
      <c r="AN116" s="10">
        <v>0</v>
      </c>
      <c r="AO116" s="10">
        <v>0</v>
      </c>
      <c r="AP116" s="10">
        <v>0</v>
      </c>
      <c r="AQ116" s="10">
        <v>0</v>
      </c>
      <c r="AR116" s="10">
        <v>0</v>
      </c>
      <c r="AS116" s="10">
        <v>0</v>
      </c>
      <c r="AT116" s="10">
        <v>0</v>
      </c>
      <c r="AU116" s="10">
        <v>0</v>
      </c>
      <c r="AV116" s="10">
        <v>0</v>
      </c>
      <c r="AW116" s="10">
        <v>0</v>
      </c>
      <c r="AX116" s="10">
        <v>0</v>
      </c>
      <c r="AY116" s="10">
        <v>0</v>
      </c>
      <c r="AZ116" s="10">
        <v>0</v>
      </c>
      <c r="BA116" s="10">
        <v>0</v>
      </c>
      <c r="BB116" s="10">
        <v>0</v>
      </c>
      <c r="BC116" s="10">
        <v>0</v>
      </c>
      <c r="BD116" s="10">
        <v>0</v>
      </c>
      <c r="BE116" s="10">
        <v>0</v>
      </c>
      <c r="BF116" s="10">
        <v>0</v>
      </c>
    </row>
    <row r="117" spans="1:58" ht="14.1" customHeight="1">
      <c r="A117" s="412">
        <f t="shared" si="451"/>
        <v>111</v>
      </c>
      <c r="B117" s="89" t="s">
        <v>98</v>
      </c>
      <c r="C117" s="38">
        <f t="shared" si="487"/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v>0</v>
      </c>
      <c r="AV117" s="10">
        <v>0</v>
      </c>
      <c r="AW117" s="10">
        <v>0</v>
      </c>
      <c r="AX117" s="10">
        <v>0</v>
      </c>
      <c r="AY117" s="10">
        <v>0</v>
      </c>
      <c r="AZ117" s="10">
        <v>0</v>
      </c>
      <c r="BA117" s="10">
        <v>0</v>
      </c>
      <c r="BB117" s="10">
        <v>0</v>
      </c>
      <c r="BC117" s="10">
        <v>0</v>
      </c>
      <c r="BD117" s="10">
        <v>0</v>
      </c>
      <c r="BE117" s="10">
        <v>0</v>
      </c>
      <c r="BF117" s="10">
        <v>0</v>
      </c>
    </row>
    <row r="118" spans="1:58" ht="14.1" customHeight="1">
      <c r="A118" s="412">
        <f t="shared" si="451"/>
        <v>112</v>
      </c>
      <c r="B118" s="89" t="s">
        <v>99</v>
      </c>
      <c r="C118" s="38">
        <f t="shared" si="487"/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0</v>
      </c>
      <c r="AK118" s="10">
        <v>0</v>
      </c>
      <c r="AL118" s="10">
        <v>0</v>
      </c>
      <c r="AM118" s="10">
        <v>0</v>
      </c>
      <c r="AN118" s="10">
        <v>0</v>
      </c>
      <c r="AO118" s="10">
        <v>0</v>
      </c>
      <c r="AP118" s="10">
        <v>0</v>
      </c>
      <c r="AQ118" s="10">
        <v>0</v>
      </c>
      <c r="AR118" s="10">
        <v>0</v>
      </c>
      <c r="AS118" s="10">
        <v>0</v>
      </c>
      <c r="AT118" s="10">
        <v>0</v>
      </c>
      <c r="AU118" s="10">
        <v>0</v>
      </c>
      <c r="AV118" s="10">
        <v>0</v>
      </c>
      <c r="AW118" s="10">
        <v>0</v>
      </c>
      <c r="AX118" s="10">
        <v>0</v>
      </c>
      <c r="AY118" s="10">
        <v>0</v>
      </c>
      <c r="AZ118" s="10">
        <v>0</v>
      </c>
      <c r="BA118" s="10">
        <v>0</v>
      </c>
      <c r="BB118" s="10">
        <v>0</v>
      </c>
      <c r="BC118" s="10">
        <v>0</v>
      </c>
      <c r="BD118" s="10">
        <v>0</v>
      </c>
      <c r="BE118" s="10">
        <v>0</v>
      </c>
      <c r="BF118" s="10">
        <v>0</v>
      </c>
    </row>
    <row r="119" spans="1:58" ht="14.1" customHeight="1">
      <c r="A119" s="412">
        <f t="shared" si="451"/>
        <v>113</v>
      </c>
      <c r="B119" s="89" t="s">
        <v>100</v>
      </c>
      <c r="C119" s="38">
        <f t="shared" si="487"/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v>0</v>
      </c>
      <c r="AV119" s="10">
        <v>0</v>
      </c>
      <c r="AW119" s="10">
        <v>0</v>
      </c>
      <c r="AX119" s="10">
        <v>0</v>
      </c>
      <c r="AY119" s="10">
        <v>0</v>
      </c>
      <c r="AZ119" s="10">
        <v>0</v>
      </c>
      <c r="BA119" s="10">
        <v>0</v>
      </c>
      <c r="BB119" s="10">
        <v>0</v>
      </c>
      <c r="BC119" s="10">
        <v>0</v>
      </c>
      <c r="BD119" s="10">
        <v>0</v>
      </c>
      <c r="BE119" s="10">
        <v>0</v>
      </c>
      <c r="BF119" s="10">
        <v>0</v>
      </c>
    </row>
    <row r="120" spans="1:58" ht="14.1" customHeight="1">
      <c r="A120" s="412">
        <f t="shared" si="451"/>
        <v>114</v>
      </c>
      <c r="B120" s="89" t="s">
        <v>101</v>
      </c>
      <c r="C120" s="38">
        <f t="shared" si="487"/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10">
        <v>0</v>
      </c>
      <c r="AN120" s="10">
        <v>0</v>
      </c>
      <c r="AO120" s="10">
        <v>0</v>
      </c>
      <c r="AP120" s="10">
        <v>0</v>
      </c>
      <c r="AQ120" s="10">
        <v>0</v>
      </c>
      <c r="AR120" s="10">
        <v>0</v>
      </c>
      <c r="AS120" s="10">
        <v>0</v>
      </c>
      <c r="AT120" s="10">
        <v>0</v>
      </c>
      <c r="AU120" s="10">
        <v>0</v>
      </c>
      <c r="AV120" s="10">
        <v>0</v>
      </c>
      <c r="AW120" s="10">
        <v>0</v>
      </c>
      <c r="AX120" s="10">
        <v>0</v>
      </c>
      <c r="AY120" s="10">
        <v>0</v>
      </c>
      <c r="AZ120" s="10">
        <v>0</v>
      </c>
      <c r="BA120" s="10">
        <v>0</v>
      </c>
      <c r="BB120" s="10">
        <v>0</v>
      </c>
      <c r="BC120" s="10">
        <v>0</v>
      </c>
      <c r="BD120" s="10">
        <v>0</v>
      </c>
      <c r="BE120" s="10">
        <v>0</v>
      </c>
      <c r="BF120" s="10">
        <v>0</v>
      </c>
    </row>
    <row r="121" spans="1:58" ht="14.1" customHeight="1">
      <c r="A121" s="412">
        <f t="shared" si="451"/>
        <v>115</v>
      </c>
      <c r="B121" s="89" t="s">
        <v>102</v>
      </c>
      <c r="C121" s="38">
        <f t="shared" si="487"/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v>0</v>
      </c>
      <c r="AV121" s="10">
        <v>0</v>
      </c>
      <c r="AW121" s="10">
        <v>0</v>
      </c>
      <c r="AX121" s="10">
        <v>0</v>
      </c>
      <c r="AY121" s="10">
        <v>0</v>
      </c>
      <c r="AZ121" s="10">
        <v>0</v>
      </c>
      <c r="BA121" s="10">
        <v>0</v>
      </c>
      <c r="BB121" s="10">
        <v>0</v>
      </c>
      <c r="BC121" s="10">
        <v>0</v>
      </c>
      <c r="BD121" s="10">
        <v>0</v>
      </c>
      <c r="BE121" s="10">
        <v>0</v>
      </c>
      <c r="BF121" s="10">
        <v>0</v>
      </c>
    </row>
    <row r="122" spans="1:58" ht="14.1" customHeight="1">
      <c r="A122" s="412">
        <f t="shared" si="451"/>
        <v>116</v>
      </c>
      <c r="B122" s="89" t="s">
        <v>103</v>
      </c>
      <c r="C122" s="38">
        <f t="shared" si="487"/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0</v>
      </c>
      <c r="AN122" s="10">
        <v>0</v>
      </c>
      <c r="AO122" s="10">
        <v>0</v>
      </c>
      <c r="AP122" s="10">
        <v>0</v>
      </c>
      <c r="AQ122" s="10">
        <v>0</v>
      </c>
      <c r="AR122" s="10">
        <v>0</v>
      </c>
      <c r="AS122" s="10">
        <v>0</v>
      </c>
      <c r="AT122" s="10">
        <v>0</v>
      </c>
      <c r="AU122" s="10">
        <v>0</v>
      </c>
      <c r="AV122" s="10">
        <v>0</v>
      </c>
      <c r="AW122" s="10">
        <v>0</v>
      </c>
      <c r="AX122" s="10">
        <v>0</v>
      </c>
      <c r="AY122" s="10">
        <v>0</v>
      </c>
      <c r="AZ122" s="10">
        <v>0</v>
      </c>
      <c r="BA122" s="10">
        <v>0</v>
      </c>
      <c r="BB122" s="10">
        <v>0</v>
      </c>
      <c r="BC122" s="10">
        <v>0</v>
      </c>
      <c r="BD122" s="10">
        <v>0</v>
      </c>
      <c r="BE122" s="10">
        <v>0</v>
      </c>
      <c r="BF122" s="10">
        <v>0</v>
      </c>
    </row>
    <row r="123" spans="1:58" ht="14.1" customHeight="1">
      <c r="A123" s="412">
        <f t="shared" si="451"/>
        <v>117</v>
      </c>
      <c r="B123" s="56" t="s">
        <v>104</v>
      </c>
      <c r="C123" s="38">
        <f t="shared" si="487"/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v>0</v>
      </c>
      <c r="AV123" s="10">
        <v>0</v>
      </c>
      <c r="AW123" s="10">
        <v>0</v>
      </c>
      <c r="AX123" s="10">
        <v>0</v>
      </c>
      <c r="AY123" s="10">
        <v>0</v>
      </c>
      <c r="AZ123" s="10">
        <v>0</v>
      </c>
      <c r="BA123" s="10">
        <v>0</v>
      </c>
      <c r="BB123" s="10">
        <v>0</v>
      </c>
      <c r="BC123" s="10">
        <v>0</v>
      </c>
      <c r="BD123" s="10">
        <v>0</v>
      </c>
      <c r="BE123" s="10">
        <v>0</v>
      </c>
      <c r="BF123" s="10">
        <v>0</v>
      </c>
    </row>
    <row r="124" spans="1:58" ht="14.1" customHeight="1">
      <c r="A124" s="412">
        <f t="shared" si="451"/>
        <v>118</v>
      </c>
      <c r="B124" s="2" t="s">
        <v>489</v>
      </c>
      <c r="C124" s="86">
        <f>SUM(C113:C123)</f>
        <v>0</v>
      </c>
      <c r="D124" s="86">
        <f t="shared" ref="D124:H124" si="488">SUM(D113:D123)</f>
        <v>0</v>
      </c>
      <c r="E124" s="86">
        <f t="shared" ref="E124" si="489">SUM(E113:E123)</f>
        <v>0</v>
      </c>
      <c r="F124" s="86">
        <f t="shared" ref="F124" si="490">SUM(F113:F123)</f>
        <v>0</v>
      </c>
      <c r="G124" s="86">
        <f t="shared" ref="G124" si="491">SUM(G113:G123)</f>
        <v>0</v>
      </c>
      <c r="H124" s="86">
        <f t="shared" si="488"/>
        <v>0</v>
      </c>
      <c r="I124" s="86">
        <f>SUM(I113:I123)</f>
        <v>0</v>
      </c>
      <c r="J124" s="86">
        <f>SUM(J113:J123)</f>
        <v>0</v>
      </c>
      <c r="K124" s="86">
        <f>SUM(K113:K123)</f>
        <v>0</v>
      </c>
      <c r="L124" s="86">
        <f t="shared" ref="L124" si="492">SUM(L113:L123)</f>
        <v>0</v>
      </c>
      <c r="M124" s="86">
        <f t="shared" ref="M124:AB124" si="493">SUM(M113:M123)</f>
        <v>0</v>
      </c>
      <c r="N124" s="86">
        <f t="shared" si="493"/>
        <v>0</v>
      </c>
      <c r="O124" s="86">
        <f t="shared" si="493"/>
        <v>0</v>
      </c>
      <c r="P124" s="86">
        <f t="shared" si="493"/>
        <v>0</v>
      </c>
      <c r="Q124" s="86">
        <f t="shared" si="493"/>
        <v>0</v>
      </c>
      <c r="R124" s="86">
        <f t="shared" si="493"/>
        <v>0</v>
      </c>
      <c r="S124" s="86">
        <f t="shared" si="493"/>
        <v>0</v>
      </c>
      <c r="T124" s="86">
        <f t="shared" si="493"/>
        <v>0</v>
      </c>
      <c r="U124" s="86">
        <f t="shared" si="493"/>
        <v>0</v>
      </c>
      <c r="V124" s="86">
        <f t="shared" si="493"/>
        <v>0</v>
      </c>
      <c r="W124" s="86">
        <f t="shared" si="493"/>
        <v>0</v>
      </c>
      <c r="X124" s="86">
        <f t="shared" si="493"/>
        <v>0</v>
      </c>
      <c r="Y124" s="86">
        <f t="shared" si="493"/>
        <v>0</v>
      </c>
      <c r="Z124" s="86">
        <f t="shared" si="493"/>
        <v>0</v>
      </c>
      <c r="AA124" s="86">
        <f t="shared" si="493"/>
        <v>0</v>
      </c>
      <c r="AB124" s="86">
        <f t="shared" si="493"/>
        <v>0</v>
      </c>
      <c r="AC124" s="86">
        <f t="shared" ref="AC124" si="494">SUM(AC113:AC123)</f>
        <v>0</v>
      </c>
      <c r="AD124" s="86">
        <f>SUM(AD113:AD123)</f>
        <v>0</v>
      </c>
      <c r="AE124" s="86">
        <f>SUM(AE113:AE123)</f>
        <v>0</v>
      </c>
      <c r="AF124" s="86">
        <f t="shared" ref="AF124" si="495">SUM(AF113:AF123)</f>
        <v>0</v>
      </c>
      <c r="AG124" s="86">
        <f t="shared" ref="AG124" si="496">SUM(AG113:AG123)</f>
        <v>0</v>
      </c>
      <c r="AH124" s="86">
        <f t="shared" ref="AH124:AU124" si="497">SUM(AH113:AH123)</f>
        <v>0</v>
      </c>
      <c r="AI124" s="86">
        <f t="shared" si="497"/>
        <v>0</v>
      </c>
      <c r="AJ124" s="86">
        <f t="shared" si="497"/>
        <v>0</v>
      </c>
      <c r="AK124" s="86">
        <f t="shared" si="497"/>
        <v>0</v>
      </c>
      <c r="AL124" s="86">
        <f t="shared" si="497"/>
        <v>0</v>
      </c>
      <c r="AM124" s="86">
        <f t="shared" si="497"/>
        <v>0</v>
      </c>
      <c r="AN124" s="86">
        <f t="shared" si="497"/>
        <v>0</v>
      </c>
      <c r="AO124" s="86">
        <f t="shared" si="497"/>
        <v>0</v>
      </c>
      <c r="AP124" s="86">
        <f t="shared" si="497"/>
        <v>0</v>
      </c>
      <c r="AQ124" s="86">
        <f t="shared" si="497"/>
        <v>0</v>
      </c>
      <c r="AR124" s="86">
        <f t="shared" si="497"/>
        <v>0</v>
      </c>
      <c r="AS124" s="86">
        <f t="shared" si="497"/>
        <v>0</v>
      </c>
      <c r="AT124" s="86">
        <f t="shared" si="497"/>
        <v>0</v>
      </c>
      <c r="AU124" s="86">
        <f t="shared" si="497"/>
        <v>0</v>
      </c>
      <c r="AV124" s="86">
        <f>SUM(AV113:AV123)</f>
        <v>0</v>
      </c>
      <c r="AW124" s="86">
        <f>SUM(AW113:AW123)</f>
        <v>0</v>
      </c>
      <c r="AX124" s="86">
        <f t="shared" ref="AX124:BA124" si="498">SUM(AX113:AX123)</f>
        <v>0</v>
      </c>
      <c r="AY124" s="86">
        <f t="shared" si="498"/>
        <v>0</v>
      </c>
      <c r="AZ124" s="86">
        <f t="shared" si="498"/>
        <v>0</v>
      </c>
      <c r="BA124" s="86">
        <f t="shared" si="498"/>
        <v>0</v>
      </c>
      <c r="BB124" s="86">
        <f t="shared" ref="BB124:BE124" si="499">SUM(BB113:BB123)</f>
        <v>0</v>
      </c>
      <c r="BC124" s="86">
        <f t="shared" si="499"/>
        <v>0</v>
      </c>
      <c r="BD124" s="86">
        <f t="shared" si="499"/>
        <v>0</v>
      </c>
      <c r="BE124" s="86">
        <f t="shared" si="499"/>
        <v>0</v>
      </c>
      <c r="BF124" s="86">
        <f>SUM(BF113:BF123)</f>
        <v>0</v>
      </c>
    </row>
    <row r="125" spans="1:58" ht="14.1" customHeight="1">
      <c r="A125" s="412">
        <f t="shared" si="451"/>
        <v>119</v>
      </c>
      <c r="B125" s="6"/>
      <c r="C125" s="25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</row>
    <row r="126" spans="1:58" ht="14.1" customHeight="1">
      <c r="A126" s="412">
        <f t="shared" si="451"/>
        <v>120</v>
      </c>
      <c r="B126" s="3" t="s">
        <v>105</v>
      </c>
      <c r="C126" s="1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</row>
    <row r="127" spans="1:58" ht="14.1" customHeight="1">
      <c r="A127" s="412">
        <f t="shared" si="451"/>
        <v>121</v>
      </c>
      <c r="B127" s="89" t="s">
        <v>106</v>
      </c>
      <c r="C127" s="38">
        <f t="shared" ref="C127:C141" si="500">SUM(D127:BF127)</f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v>0</v>
      </c>
      <c r="AV127" s="10">
        <v>0</v>
      </c>
      <c r="AW127" s="10">
        <v>0</v>
      </c>
      <c r="AX127" s="10">
        <v>0</v>
      </c>
      <c r="AY127" s="10">
        <v>0</v>
      </c>
      <c r="AZ127" s="10">
        <v>0</v>
      </c>
      <c r="BA127" s="10">
        <v>0</v>
      </c>
      <c r="BB127" s="10">
        <v>0</v>
      </c>
      <c r="BC127" s="10">
        <v>0</v>
      </c>
      <c r="BD127" s="10">
        <v>0</v>
      </c>
      <c r="BE127" s="10">
        <v>0</v>
      </c>
      <c r="BF127" s="10">
        <v>0</v>
      </c>
    </row>
    <row r="128" spans="1:58" ht="14.1" customHeight="1">
      <c r="A128" s="412">
        <f t="shared" si="451"/>
        <v>122</v>
      </c>
      <c r="B128" s="89" t="s">
        <v>107</v>
      </c>
      <c r="C128" s="38">
        <f t="shared" si="500"/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>
        <v>0</v>
      </c>
      <c r="AO128" s="10">
        <v>0</v>
      </c>
      <c r="AP128" s="10">
        <v>0</v>
      </c>
      <c r="AQ128" s="10">
        <v>0</v>
      </c>
      <c r="AR128" s="10">
        <v>0</v>
      </c>
      <c r="AS128" s="10">
        <v>0</v>
      </c>
      <c r="AT128" s="10">
        <v>0</v>
      </c>
      <c r="AU128" s="10">
        <v>0</v>
      </c>
      <c r="AV128" s="10">
        <v>0</v>
      </c>
      <c r="AW128" s="10">
        <v>0</v>
      </c>
      <c r="AX128" s="10">
        <v>0</v>
      </c>
      <c r="AY128" s="10">
        <v>0</v>
      </c>
      <c r="AZ128" s="10">
        <v>0</v>
      </c>
      <c r="BA128" s="10">
        <v>0</v>
      </c>
      <c r="BB128" s="10">
        <v>0</v>
      </c>
      <c r="BC128" s="10">
        <v>0</v>
      </c>
      <c r="BD128" s="10">
        <v>0</v>
      </c>
      <c r="BE128" s="10">
        <v>0</v>
      </c>
      <c r="BF128" s="10">
        <v>0</v>
      </c>
    </row>
    <row r="129" spans="1:58" ht="14.1" customHeight="1">
      <c r="A129" s="412">
        <f t="shared" si="451"/>
        <v>123</v>
      </c>
      <c r="B129" s="89" t="s">
        <v>108</v>
      </c>
      <c r="C129" s="38">
        <f t="shared" si="500"/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v>0</v>
      </c>
      <c r="AV129" s="10">
        <v>0</v>
      </c>
      <c r="AW129" s="10">
        <v>0</v>
      </c>
      <c r="AX129" s="10">
        <v>0</v>
      </c>
      <c r="AY129" s="10">
        <v>0</v>
      </c>
      <c r="AZ129" s="10">
        <v>0</v>
      </c>
      <c r="BA129" s="10">
        <v>0</v>
      </c>
      <c r="BB129" s="10">
        <v>0</v>
      </c>
      <c r="BC129" s="10">
        <v>0</v>
      </c>
      <c r="BD129" s="10">
        <v>0</v>
      </c>
      <c r="BE129" s="10">
        <v>0</v>
      </c>
      <c r="BF129" s="10">
        <v>0</v>
      </c>
    </row>
    <row r="130" spans="1:58" ht="14.1" customHeight="1">
      <c r="A130" s="412">
        <f t="shared" si="451"/>
        <v>124</v>
      </c>
      <c r="B130" s="89" t="s">
        <v>109</v>
      </c>
      <c r="C130" s="38">
        <f t="shared" si="500"/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0</v>
      </c>
      <c r="AN130" s="10">
        <v>0</v>
      </c>
      <c r="AO130" s="10">
        <v>0</v>
      </c>
      <c r="AP130" s="10">
        <v>0</v>
      </c>
      <c r="AQ130" s="10">
        <v>0</v>
      </c>
      <c r="AR130" s="10">
        <v>0</v>
      </c>
      <c r="AS130" s="10">
        <v>0</v>
      </c>
      <c r="AT130" s="10">
        <v>0</v>
      </c>
      <c r="AU130" s="10">
        <v>0</v>
      </c>
      <c r="AV130" s="10">
        <v>0</v>
      </c>
      <c r="AW130" s="10">
        <v>0</v>
      </c>
      <c r="AX130" s="10">
        <v>0</v>
      </c>
      <c r="AY130" s="10">
        <v>0</v>
      </c>
      <c r="AZ130" s="10">
        <v>0</v>
      </c>
      <c r="BA130" s="10">
        <v>0</v>
      </c>
      <c r="BB130" s="10">
        <v>0</v>
      </c>
      <c r="BC130" s="10">
        <v>0</v>
      </c>
      <c r="BD130" s="10">
        <v>0</v>
      </c>
      <c r="BE130" s="10">
        <v>0</v>
      </c>
      <c r="BF130" s="10">
        <v>0</v>
      </c>
    </row>
    <row r="131" spans="1:58" ht="14.1" customHeight="1">
      <c r="A131" s="412">
        <f t="shared" si="451"/>
        <v>125</v>
      </c>
      <c r="B131" s="89" t="s">
        <v>110</v>
      </c>
      <c r="C131" s="38">
        <f t="shared" si="500"/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v>0</v>
      </c>
      <c r="AV131" s="10">
        <v>0</v>
      </c>
      <c r="AW131" s="10">
        <v>0</v>
      </c>
      <c r="AX131" s="10">
        <v>0</v>
      </c>
      <c r="AY131" s="10">
        <v>0</v>
      </c>
      <c r="AZ131" s="10">
        <v>0</v>
      </c>
      <c r="BA131" s="10">
        <v>0</v>
      </c>
      <c r="BB131" s="10">
        <v>0</v>
      </c>
      <c r="BC131" s="10">
        <v>0</v>
      </c>
      <c r="BD131" s="10">
        <v>0</v>
      </c>
      <c r="BE131" s="10">
        <v>0</v>
      </c>
      <c r="BF131" s="10">
        <v>0</v>
      </c>
    </row>
    <row r="132" spans="1:58" ht="14.1" customHeight="1">
      <c r="A132" s="412">
        <f t="shared" si="451"/>
        <v>126</v>
      </c>
      <c r="B132" s="89" t="s">
        <v>111</v>
      </c>
      <c r="C132" s="38">
        <f t="shared" si="500"/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0</v>
      </c>
      <c r="AO132" s="10">
        <v>0</v>
      </c>
      <c r="AP132" s="10">
        <v>0</v>
      </c>
      <c r="AQ132" s="10">
        <v>0</v>
      </c>
      <c r="AR132" s="10">
        <v>0</v>
      </c>
      <c r="AS132" s="10">
        <v>0</v>
      </c>
      <c r="AT132" s="10">
        <v>0</v>
      </c>
      <c r="AU132" s="10">
        <v>0</v>
      </c>
      <c r="AV132" s="10">
        <v>0</v>
      </c>
      <c r="AW132" s="10">
        <v>0</v>
      </c>
      <c r="AX132" s="10">
        <v>0</v>
      </c>
      <c r="AY132" s="10">
        <v>0</v>
      </c>
      <c r="AZ132" s="10">
        <v>0</v>
      </c>
      <c r="BA132" s="10">
        <v>0</v>
      </c>
      <c r="BB132" s="10">
        <v>0</v>
      </c>
      <c r="BC132" s="10">
        <v>0</v>
      </c>
      <c r="BD132" s="10">
        <v>0</v>
      </c>
      <c r="BE132" s="10">
        <v>0</v>
      </c>
      <c r="BF132" s="10">
        <v>0</v>
      </c>
    </row>
    <row r="133" spans="1:58" ht="14.1" customHeight="1">
      <c r="A133" s="412">
        <f t="shared" si="451"/>
        <v>127</v>
      </c>
      <c r="B133" s="89" t="s">
        <v>112</v>
      </c>
      <c r="C133" s="38">
        <f t="shared" si="500"/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v>0</v>
      </c>
      <c r="AV133" s="10">
        <v>0</v>
      </c>
      <c r="AW133" s="10">
        <v>0</v>
      </c>
      <c r="AX133" s="10">
        <v>0</v>
      </c>
      <c r="AY133" s="10">
        <v>0</v>
      </c>
      <c r="AZ133" s="10">
        <v>0</v>
      </c>
      <c r="BA133" s="10">
        <v>0</v>
      </c>
      <c r="BB133" s="10">
        <v>0</v>
      </c>
      <c r="BC133" s="10">
        <v>0</v>
      </c>
      <c r="BD133" s="10">
        <v>0</v>
      </c>
      <c r="BE133" s="10">
        <v>0</v>
      </c>
      <c r="BF133" s="10">
        <v>0</v>
      </c>
    </row>
    <row r="134" spans="1:58" ht="14.1" customHeight="1">
      <c r="A134" s="412">
        <f t="shared" si="451"/>
        <v>128</v>
      </c>
      <c r="B134" s="89" t="s">
        <v>113</v>
      </c>
      <c r="C134" s="38">
        <f t="shared" si="500"/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>
        <v>0</v>
      </c>
      <c r="AM134" s="10">
        <v>0</v>
      </c>
      <c r="AN134" s="10">
        <v>0</v>
      </c>
      <c r="AO134" s="10">
        <v>0</v>
      </c>
      <c r="AP134" s="10">
        <v>0</v>
      </c>
      <c r="AQ134" s="10">
        <v>0</v>
      </c>
      <c r="AR134" s="10">
        <v>0</v>
      </c>
      <c r="AS134" s="10">
        <v>0</v>
      </c>
      <c r="AT134" s="10">
        <v>0</v>
      </c>
      <c r="AU134" s="10">
        <v>0</v>
      </c>
      <c r="AV134" s="10">
        <v>0</v>
      </c>
      <c r="AW134" s="10">
        <v>0</v>
      </c>
      <c r="AX134" s="10">
        <v>0</v>
      </c>
      <c r="AY134" s="10">
        <v>0</v>
      </c>
      <c r="AZ134" s="10">
        <v>0</v>
      </c>
      <c r="BA134" s="10">
        <v>0</v>
      </c>
      <c r="BB134" s="10">
        <v>0</v>
      </c>
      <c r="BC134" s="10">
        <v>0</v>
      </c>
      <c r="BD134" s="10">
        <v>0</v>
      </c>
      <c r="BE134" s="10">
        <v>0</v>
      </c>
      <c r="BF134" s="10">
        <v>0</v>
      </c>
    </row>
    <row r="135" spans="1:58" ht="14.1" customHeight="1">
      <c r="A135" s="412">
        <f t="shared" si="451"/>
        <v>129</v>
      </c>
      <c r="B135" s="89" t="s">
        <v>114</v>
      </c>
      <c r="C135" s="38">
        <f t="shared" si="500"/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v>0</v>
      </c>
      <c r="AV135" s="10">
        <v>0</v>
      </c>
      <c r="AW135" s="10">
        <v>0</v>
      </c>
      <c r="AX135" s="10">
        <v>0</v>
      </c>
      <c r="AY135" s="10">
        <v>0</v>
      </c>
      <c r="AZ135" s="10">
        <v>0</v>
      </c>
      <c r="BA135" s="10">
        <v>0</v>
      </c>
      <c r="BB135" s="10">
        <v>0</v>
      </c>
      <c r="BC135" s="10">
        <v>0</v>
      </c>
      <c r="BD135" s="10">
        <v>0</v>
      </c>
      <c r="BE135" s="10">
        <v>0</v>
      </c>
      <c r="BF135" s="10">
        <v>0</v>
      </c>
    </row>
    <row r="136" spans="1:58" ht="14.1" customHeight="1">
      <c r="A136" s="412">
        <f t="shared" si="451"/>
        <v>130</v>
      </c>
      <c r="B136" s="89" t="s">
        <v>115</v>
      </c>
      <c r="C136" s="38">
        <f t="shared" si="500"/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>
        <v>0</v>
      </c>
      <c r="AM136" s="10">
        <v>0</v>
      </c>
      <c r="AN136" s="10">
        <v>0</v>
      </c>
      <c r="AO136" s="10">
        <v>0</v>
      </c>
      <c r="AP136" s="10">
        <v>0</v>
      </c>
      <c r="AQ136" s="10">
        <v>0</v>
      </c>
      <c r="AR136" s="10">
        <v>0</v>
      </c>
      <c r="AS136" s="10">
        <v>0</v>
      </c>
      <c r="AT136" s="10">
        <v>0</v>
      </c>
      <c r="AU136" s="10">
        <v>0</v>
      </c>
      <c r="AV136" s="10">
        <v>0</v>
      </c>
      <c r="AW136" s="10">
        <v>0</v>
      </c>
      <c r="AX136" s="10">
        <v>0</v>
      </c>
      <c r="AY136" s="10">
        <v>0</v>
      </c>
      <c r="AZ136" s="10">
        <v>0</v>
      </c>
      <c r="BA136" s="10">
        <v>0</v>
      </c>
      <c r="BB136" s="10">
        <v>0</v>
      </c>
      <c r="BC136" s="10">
        <v>0</v>
      </c>
      <c r="BD136" s="10">
        <v>0</v>
      </c>
      <c r="BE136" s="10">
        <v>0</v>
      </c>
      <c r="BF136" s="10">
        <v>0</v>
      </c>
    </row>
    <row r="137" spans="1:58" ht="14.1" customHeight="1">
      <c r="A137" s="412">
        <f t="shared" si="451"/>
        <v>131</v>
      </c>
      <c r="B137" s="89" t="s">
        <v>116</v>
      </c>
      <c r="C137" s="38">
        <f t="shared" si="500"/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v>0</v>
      </c>
      <c r="AV137" s="10">
        <v>0</v>
      </c>
      <c r="AW137" s="10">
        <v>0</v>
      </c>
      <c r="AX137" s="10">
        <v>0</v>
      </c>
      <c r="AY137" s="10">
        <v>0</v>
      </c>
      <c r="AZ137" s="10">
        <v>0</v>
      </c>
      <c r="BA137" s="10">
        <v>0</v>
      </c>
      <c r="BB137" s="10">
        <v>0</v>
      </c>
      <c r="BC137" s="10">
        <v>0</v>
      </c>
      <c r="BD137" s="10">
        <v>0</v>
      </c>
      <c r="BE137" s="10">
        <v>0</v>
      </c>
      <c r="BF137" s="10">
        <v>0</v>
      </c>
    </row>
    <row r="138" spans="1:58" ht="14.1" customHeight="1">
      <c r="A138" s="412">
        <f t="shared" si="451"/>
        <v>132</v>
      </c>
      <c r="B138" s="89" t="s">
        <v>117</v>
      </c>
      <c r="C138" s="38">
        <f t="shared" si="500"/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  <c r="AK138" s="10">
        <v>0</v>
      </c>
      <c r="AL138" s="10">
        <v>0</v>
      </c>
      <c r="AM138" s="10">
        <v>0</v>
      </c>
      <c r="AN138" s="10">
        <v>0</v>
      </c>
      <c r="AO138" s="10">
        <v>0</v>
      </c>
      <c r="AP138" s="10">
        <v>0</v>
      </c>
      <c r="AQ138" s="10">
        <v>0</v>
      </c>
      <c r="AR138" s="10">
        <v>0</v>
      </c>
      <c r="AS138" s="10">
        <v>0</v>
      </c>
      <c r="AT138" s="10">
        <v>0</v>
      </c>
      <c r="AU138" s="10">
        <v>0</v>
      </c>
      <c r="AV138" s="10">
        <v>0</v>
      </c>
      <c r="AW138" s="10">
        <v>0</v>
      </c>
      <c r="AX138" s="10">
        <v>0</v>
      </c>
      <c r="AY138" s="10">
        <v>0</v>
      </c>
      <c r="AZ138" s="10">
        <v>0</v>
      </c>
      <c r="BA138" s="10">
        <v>0</v>
      </c>
      <c r="BB138" s="10">
        <v>0</v>
      </c>
      <c r="BC138" s="10">
        <v>0</v>
      </c>
      <c r="BD138" s="10">
        <v>0</v>
      </c>
      <c r="BE138" s="10">
        <v>0</v>
      </c>
      <c r="BF138" s="10">
        <v>0</v>
      </c>
    </row>
    <row r="139" spans="1:58" ht="14.1" customHeight="1">
      <c r="A139" s="412">
        <f t="shared" si="451"/>
        <v>133</v>
      </c>
      <c r="B139" s="89" t="s">
        <v>118</v>
      </c>
      <c r="C139" s="38">
        <f t="shared" si="500"/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v>0</v>
      </c>
      <c r="AV139" s="10">
        <v>0</v>
      </c>
      <c r="AW139" s="10">
        <v>0</v>
      </c>
      <c r="AX139" s="10">
        <v>0</v>
      </c>
      <c r="AY139" s="10">
        <v>0</v>
      </c>
      <c r="AZ139" s="10">
        <v>0</v>
      </c>
      <c r="BA139" s="10">
        <v>0</v>
      </c>
      <c r="BB139" s="10">
        <v>0</v>
      </c>
      <c r="BC139" s="10">
        <v>0</v>
      </c>
      <c r="BD139" s="10">
        <v>0</v>
      </c>
      <c r="BE139" s="10">
        <v>0</v>
      </c>
      <c r="BF139" s="10">
        <v>0</v>
      </c>
    </row>
    <row r="140" spans="1:58" ht="14.1" customHeight="1">
      <c r="A140" s="412">
        <f t="shared" si="451"/>
        <v>134</v>
      </c>
      <c r="B140" s="89" t="s">
        <v>119</v>
      </c>
      <c r="C140" s="38">
        <f t="shared" si="500"/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10">
        <v>0</v>
      </c>
      <c r="AN140" s="10">
        <v>0</v>
      </c>
      <c r="AO140" s="10">
        <v>0</v>
      </c>
      <c r="AP140" s="10">
        <v>0</v>
      </c>
      <c r="AQ140" s="10">
        <v>0</v>
      </c>
      <c r="AR140" s="10">
        <v>0</v>
      </c>
      <c r="AS140" s="10">
        <v>0</v>
      </c>
      <c r="AT140" s="10">
        <v>0</v>
      </c>
      <c r="AU140" s="10">
        <v>0</v>
      </c>
      <c r="AV140" s="10">
        <v>0</v>
      </c>
      <c r="AW140" s="10">
        <v>0</v>
      </c>
      <c r="AX140" s="10">
        <v>0</v>
      </c>
      <c r="AY140" s="10">
        <v>0</v>
      </c>
      <c r="AZ140" s="10">
        <v>0</v>
      </c>
      <c r="BA140" s="10">
        <v>0</v>
      </c>
      <c r="BB140" s="10">
        <v>0</v>
      </c>
      <c r="BC140" s="10">
        <v>0</v>
      </c>
      <c r="BD140" s="10">
        <v>0</v>
      </c>
      <c r="BE140" s="10">
        <v>0</v>
      </c>
      <c r="BF140" s="10">
        <v>0</v>
      </c>
    </row>
    <row r="141" spans="1:58" ht="14.1" customHeight="1">
      <c r="A141" s="412">
        <f t="shared" ref="A141:A204" si="501">+A140+1</f>
        <v>135</v>
      </c>
      <c r="B141" s="56" t="s">
        <v>120</v>
      </c>
      <c r="C141" s="38">
        <f t="shared" si="500"/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v>0</v>
      </c>
      <c r="AV141" s="10">
        <v>0</v>
      </c>
      <c r="AW141" s="10">
        <v>0</v>
      </c>
      <c r="AX141" s="10">
        <v>0</v>
      </c>
      <c r="AY141" s="10">
        <v>0</v>
      </c>
      <c r="AZ141" s="10">
        <v>0</v>
      </c>
      <c r="BA141" s="10">
        <v>0</v>
      </c>
      <c r="BB141" s="10">
        <v>0</v>
      </c>
      <c r="BC141" s="10">
        <v>0</v>
      </c>
      <c r="BD141" s="10">
        <v>0</v>
      </c>
      <c r="BE141" s="10">
        <v>0</v>
      </c>
      <c r="BF141" s="10">
        <v>0</v>
      </c>
    </row>
    <row r="142" spans="1:58" ht="14.1" customHeight="1">
      <c r="A142" s="412">
        <f t="shared" si="501"/>
        <v>136</v>
      </c>
      <c r="B142" s="2" t="s">
        <v>490</v>
      </c>
      <c r="C142" s="86">
        <f>SUM(C127:C141)</f>
        <v>0</v>
      </c>
      <c r="D142" s="86">
        <f>SUM(D127:D141)</f>
        <v>0</v>
      </c>
      <c r="E142" s="86">
        <f>SUM(E127:E141)</f>
        <v>0</v>
      </c>
      <c r="F142" s="86">
        <f t="shared" ref="F142" si="502">SUM(F127:F141)</f>
        <v>0</v>
      </c>
      <c r="G142" s="86">
        <f t="shared" ref="G142" si="503">SUM(G127:G141)</f>
        <v>0</v>
      </c>
      <c r="H142" s="86">
        <f t="shared" ref="H142:BE142" si="504">SUM(H127:H141)</f>
        <v>0</v>
      </c>
      <c r="I142" s="86">
        <f>SUM(I127:I141)</f>
        <v>0</v>
      </c>
      <c r="J142" s="86">
        <f>SUM(J127:J141)</f>
        <v>0</v>
      </c>
      <c r="K142" s="86">
        <f>SUM(K127:K141)</f>
        <v>0</v>
      </c>
      <c r="L142" s="86">
        <f t="shared" ref="L142" si="505">SUM(L127:L141)</f>
        <v>0</v>
      </c>
      <c r="M142" s="86">
        <f t="shared" ref="M142:AB142" si="506">SUM(M127:M141)</f>
        <v>0</v>
      </c>
      <c r="N142" s="86">
        <f t="shared" si="506"/>
        <v>0</v>
      </c>
      <c r="O142" s="86">
        <f t="shared" si="506"/>
        <v>0</v>
      </c>
      <c r="P142" s="86">
        <f t="shared" si="506"/>
        <v>0</v>
      </c>
      <c r="Q142" s="86">
        <f t="shared" si="506"/>
        <v>0</v>
      </c>
      <c r="R142" s="86">
        <f t="shared" si="506"/>
        <v>0</v>
      </c>
      <c r="S142" s="86">
        <f t="shared" si="506"/>
        <v>0</v>
      </c>
      <c r="T142" s="86">
        <f t="shared" si="506"/>
        <v>0</v>
      </c>
      <c r="U142" s="86">
        <f t="shared" si="506"/>
        <v>0</v>
      </c>
      <c r="V142" s="86">
        <f t="shared" si="506"/>
        <v>0</v>
      </c>
      <c r="W142" s="86">
        <f t="shared" si="506"/>
        <v>0</v>
      </c>
      <c r="X142" s="86">
        <f t="shared" si="506"/>
        <v>0</v>
      </c>
      <c r="Y142" s="86">
        <f t="shared" si="506"/>
        <v>0</v>
      </c>
      <c r="Z142" s="86">
        <f t="shared" si="506"/>
        <v>0</v>
      </c>
      <c r="AA142" s="86">
        <f t="shared" si="506"/>
        <v>0</v>
      </c>
      <c r="AB142" s="86">
        <f t="shared" si="506"/>
        <v>0</v>
      </c>
      <c r="AC142" s="86">
        <f t="shared" ref="AC142" si="507">SUM(AC127:AC141)</f>
        <v>0</v>
      </c>
      <c r="AD142" s="86">
        <f>SUM(AD127:AD141)</f>
        <v>0</v>
      </c>
      <c r="AE142" s="86">
        <f>SUM(AE127:AE141)</f>
        <v>0</v>
      </c>
      <c r="AF142" s="86">
        <f t="shared" ref="AF142" si="508">SUM(AF127:AF141)</f>
        <v>0</v>
      </c>
      <c r="AG142" s="86">
        <f t="shared" ref="AG142" si="509">SUM(AG127:AG141)</f>
        <v>0</v>
      </c>
      <c r="AH142" s="86">
        <f>SUM(AH127:AH141)</f>
        <v>0</v>
      </c>
      <c r="AI142" s="86">
        <f>SUM(AI127:AI141)</f>
        <v>0</v>
      </c>
      <c r="AJ142" s="86">
        <f t="shared" ref="AJ142" si="510">SUM(AJ127:AJ141)</f>
        <v>0</v>
      </c>
      <c r="AK142" s="86">
        <f t="shared" ref="AK142:AU142" si="511">SUM(AK127:AK141)</f>
        <v>0</v>
      </c>
      <c r="AL142" s="86">
        <f t="shared" si="511"/>
        <v>0</v>
      </c>
      <c r="AM142" s="86">
        <f t="shared" si="511"/>
        <v>0</v>
      </c>
      <c r="AN142" s="86">
        <f t="shared" si="511"/>
        <v>0</v>
      </c>
      <c r="AO142" s="86">
        <f t="shared" si="511"/>
        <v>0</v>
      </c>
      <c r="AP142" s="86">
        <f t="shared" si="511"/>
        <v>0</v>
      </c>
      <c r="AQ142" s="86">
        <f t="shared" si="511"/>
        <v>0</v>
      </c>
      <c r="AR142" s="86">
        <f t="shared" si="511"/>
        <v>0</v>
      </c>
      <c r="AS142" s="86">
        <f t="shared" si="511"/>
        <v>0</v>
      </c>
      <c r="AT142" s="86">
        <f t="shared" si="511"/>
        <v>0</v>
      </c>
      <c r="AU142" s="86">
        <f t="shared" si="511"/>
        <v>0</v>
      </c>
      <c r="AV142" s="86">
        <f>SUM(AV127:AV141)</f>
        <v>0</v>
      </c>
      <c r="AW142" s="86">
        <f>SUM(AW127:AW141)</f>
        <v>0</v>
      </c>
      <c r="AX142" s="86">
        <f t="shared" si="504"/>
        <v>0</v>
      </c>
      <c r="AY142" s="86">
        <f t="shared" si="504"/>
        <v>0</v>
      </c>
      <c r="AZ142" s="86">
        <f t="shared" si="504"/>
        <v>0</v>
      </c>
      <c r="BA142" s="86">
        <f t="shared" si="504"/>
        <v>0</v>
      </c>
      <c r="BB142" s="86">
        <f t="shared" si="504"/>
        <v>0</v>
      </c>
      <c r="BC142" s="86">
        <f t="shared" si="504"/>
        <v>0</v>
      </c>
      <c r="BD142" s="86">
        <f t="shared" si="504"/>
        <v>0</v>
      </c>
      <c r="BE142" s="86">
        <f t="shared" si="504"/>
        <v>0</v>
      </c>
      <c r="BF142" s="86">
        <f>SUM(BF127:BF141)</f>
        <v>0</v>
      </c>
    </row>
    <row r="143" spans="1:58" ht="14.1" customHeight="1">
      <c r="A143" s="412">
        <f t="shared" si="501"/>
        <v>137</v>
      </c>
      <c r="B143" s="6"/>
      <c r="C143" s="25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</row>
    <row r="144" spans="1:58" ht="14.1" customHeight="1">
      <c r="A144" s="412">
        <f t="shared" si="501"/>
        <v>138</v>
      </c>
      <c r="B144" s="3" t="s">
        <v>121</v>
      </c>
      <c r="C144" s="1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</row>
    <row r="145" spans="1:58" ht="14.1" customHeight="1">
      <c r="A145" s="412">
        <f t="shared" si="501"/>
        <v>139</v>
      </c>
      <c r="B145" s="89" t="s">
        <v>122</v>
      </c>
      <c r="C145" s="38">
        <f t="shared" ref="C145:C156" si="512">SUM(D145:BF145)</f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v>0</v>
      </c>
      <c r="AV145" s="10">
        <v>0</v>
      </c>
      <c r="AW145" s="10">
        <v>0</v>
      </c>
      <c r="AX145" s="10">
        <v>0</v>
      </c>
      <c r="AY145" s="10">
        <v>0</v>
      </c>
      <c r="AZ145" s="10">
        <v>0</v>
      </c>
      <c r="BA145" s="10">
        <v>0</v>
      </c>
      <c r="BB145" s="10">
        <v>0</v>
      </c>
      <c r="BC145" s="10">
        <v>0</v>
      </c>
      <c r="BD145" s="10">
        <v>0</v>
      </c>
      <c r="BE145" s="10">
        <v>0</v>
      </c>
      <c r="BF145" s="10">
        <v>0</v>
      </c>
    </row>
    <row r="146" spans="1:58" ht="14.1" customHeight="1">
      <c r="A146" s="412">
        <f t="shared" si="501"/>
        <v>140</v>
      </c>
      <c r="B146" s="89" t="s">
        <v>123</v>
      </c>
      <c r="C146" s="38">
        <f t="shared" si="512"/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10">
        <v>0</v>
      </c>
      <c r="AJ146" s="10">
        <v>0</v>
      </c>
      <c r="AK146" s="10">
        <v>0</v>
      </c>
      <c r="AL146" s="10">
        <v>0</v>
      </c>
      <c r="AM146" s="10">
        <v>0</v>
      </c>
      <c r="AN146" s="10">
        <v>0</v>
      </c>
      <c r="AO146" s="10">
        <v>0</v>
      </c>
      <c r="AP146" s="10">
        <v>0</v>
      </c>
      <c r="AQ146" s="10">
        <v>0</v>
      </c>
      <c r="AR146" s="10">
        <v>0</v>
      </c>
      <c r="AS146" s="10">
        <v>0</v>
      </c>
      <c r="AT146" s="10">
        <v>0</v>
      </c>
      <c r="AU146" s="10">
        <v>0</v>
      </c>
      <c r="AV146" s="10">
        <v>0</v>
      </c>
      <c r="AW146" s="10">
        <v>0</v>
      </c>
      <c r="AX146" s="10">
        <v>0</v>
      </c>
      <c r="AY146" s="10">
        <v>0</v>
      </c>
      <c r="AZ146" s="10">
        <v>0</v>
      </c>
      <c r="BA146" s="10">
        <v>0</v>
      </c>
      <c r="BB146" s="10">
        <v>0</v>
      </c>
      <c r="BC146" s="10">
        <v>0</v>
      </c>
      <c r="BD146" s="10">
        <v>0</v>
      </c>
      <c r="BE146" s="10">
        <v>0</v>
      </c>
      <c r="BF146" s="10">
        <v>0</v>
      </c>
    </row>
    <row r="147" spans="1:58" ht="14.1" customHeight="1">
      <c r="A147" s="412">
        <f t="shared" si="501"/>
        <v>141</v>
      </c>
      <c r="B147" s="89" t="s">
        <v>124</v>
      </c>
      <c r="C147" s="38">
        <f t="shared" si="512"/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v>0</v>
      </c>
      <c r="AV147" s="10">
        <v>0</v>
      </c>
      <c r="AW147" s="10">
        <v>0</v>
      </c>
      <c r="AX147" s="10">
        <v>0</v>
      </c>
      <c r="AY147" s="10">
        <v>0</v>
      </c>
      <c r="AZ147" s="10">
        <v>0</v>
      </c>
      <c r="BA147" s="10">
        <v>0</v>
      </c>
      <c r="BB147" s="10">
        <v>0</v>
      </c>
      <c r="BC147" s="10">
        <v>0</v>
      </c>
      <c r="BD147" s="10">
        <v>0</v>
      </c>
      <c r="BE147" s="10">
        <v>0</v>
      </c>
      <c r="BF147" s="10">
        <v>0</v>
      </c>
    </row>
    <row r="148" spans="1:58" ht="14.1" customHeight="1">
      <c r="A148" s="412">
        <f t="shared" si="501"/>
        <v>142</v>
      </c>
      <c r="B148" s="89" t="s">
        <v>125</v>
      </c>
      <c r="C148" s="38">
        <f t="shared" si="512"/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>
        <v>0</v>
      </c>
      <c r="AM148" s="10">
        <v>0</v>
      </c>
      <c r="AN148" s="10">
        <v>0</v>
      </c>
      <c r="AO148" s="10">
        <v>0</v>
      </c>
      <c r="AP148" s="10">
        <v>0</v>
      </c>
      <c r="AQ148" s="10">
        <v>0</v>
      </c>
      <c r="AR148" s="10">
        <v>0</v>
      </c>
      <c r="AS148" s="10">
        <v>0</v>
      </c>
      <c r="AT148" s="10">
        <v>0</v>
      </c>
      <c r="AU148" s="10">
        <v>0</v>
      </c>
      <c r="AV148" s="10">
        <v>0</v>
      </c>
      <c r="AW148" s="10">
        <v>0</v>
      </c>
      <c r="AX148" s="10">
        <v>0</v>
      </c>
      <c r="AY148" s="10">
        <v>0</v>
      </c>
      <c r="AZ148" s="10">
        <v>0</v>
      </c>
      <c r="BA148" s="10">
        <v>0</v>
      </c>
      <c r="BB148" s="10">
        <v>0</v>
      </c>
      <c r="BC148" s="10">
        <v>0</v>
      </c>
      <c r="BD148" s="10">
        <v>0</v>
      </c>
      <c r="BE148" s="10">
        <v>0</v>
      </c>
      <c r="BF148" s="10">
        <v>0</v>
      </c>
    </row>
    <row r="149" spans="1:58" ht="14.1" customHeight="1">
      <c r="A149" s="412">
        <f t="shared" si="501"/>
        <v>143</v>
      </c>
      <c r="B149" s="89" t="s">
        <v>126</v>
      </c>
      <c r="C149" s="38">
        <f t="shared" si="512"/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v>0</v>
      </c>
      <c r="AV149" s="10">
        <v>0</v>
      </c>
      <c r="AW149" s="10">
        <v>0</v>
      </c>
      <c r="AX149" s="10">
        <v>0</v>
      </c>
      <c r="AY149" s="10">
        <v>0</v>
      </c>
      <c r="AZ149" s="10">
        <v>0</v>
      </c>
      <c r="BA149" s="10">
        <v>0</v>
      </c>
      <c r="BB149" s="10">
        <v>0</v>
      </c>
      <c r="BC149" s="10">
        <v>0</v>
      </c>
      <c r="BD149" s="10">
        <v>0</v>
      </c>
      <c r="BE149" s="10">
        <v>0</v>
      </c>
      <c r="BF149" s="10">
        <v>0</v>
      </c>
    </row>
    <row r="150" spans="1:58" ht="14.1" customHeight="1">
      <c r="A150" s="412">
        <f t="shared" si="501"/>
        <v>144</v>
      </c>
      <c r="B150" s="89" t="s">
        <v>127</v>
      </c>
      <c r="C150" s="38">
        <f t="shared" si="512"/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10">
        <v>0</v>
      </c>
      <c r="AN150" s="10">
        <v>0</v>
      </c>
      <c r="AO150" s="10">
        <v>0</v>
      </c>
      <c r="AP150" s="10">
        <v>0</v>
      </c>
      <c r="AQ150" s="10">
        <v>0</v>
      </c>
      <c r="AR150" s="10">
        <v>0</v>
      </c>
      <c r="AS150" s="10">
        <v>0</v>
      </c>
      <c r="AT150" s="10">
        <v>0</v>
      </c>
      <c r="AU150" s="10">
        <v>0</v>
      </c>
      <c r="AV150" s="10">
        <v>0</v>
      </c>
      <c r="AW150" s="10">
        <v>0</v>
      </c>
      <c r="AX150" s="10">
        <v>0</v>
      </c>
      <c r="AY150" s="10">
        <v>0</v>
      </c>
      <c r="AZ150" s="10">
        <v>0</v>
      </c>
      <c r="BA150" s="10">
        <v>0</v>
      </c>
      <c r="BB150" s="10">
        <v>0</v>
      </c>
      <c r="BC150" s="10">
        <v>0</v>
      </c>
      <c r="BD150" s="10">
        <v>0</v>
      </c>
      <c r="BE150" s="10">
        <v>0</v>
      </c>
      <c r="BF150" s="10">
        <v>0</v>
      </c>
    </row>
    <row r="151" spans="1:58" ht="14.1" customHeight="1">
      <c r="A151" s="412">
        <f t="shared" si="501"/>
        <v>145</v>
      </c>
      <c r="B151" s="89" t="s">
        <v>128</v>
      </c>
      <c r="C151" s="38">
        <f t="shared" si="512"/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v>0</v>
      </c>
      <c r="AV151" s="10">
        <v>0</v>
      </c>
      <c r="AW151" s="10">
        <v>0</v>
      </c>
      <c r="AX151" s="10">
        <v>0</v>
      </c>
      <c r="AY151" s="10">
        <v>0</v>
      </c>
      <c r="AZ151" s="10">
        <v>0</v>
      </c>
      <c r="BA151" s="10">
        <v>0</v>
      </c>
      <c r="BB151" s="10">
        <v>0</v>
      </c>
      <c r="BC151" s="10">
        <v>0</v>
      </c>
      <c r="BD151" s="10">
        <v>0</v>
      </c>
      <c r="BE151" s="10">
        <v>0</v>
      </c>
      <c r="BF151" s="10">
        <v>0</v>
      </c>
    </row>
    <row r="152" spans="1:58" ht="14.1" customHeight="1">
      <c r="A152" s="412">
        <f t="shared" si="501"/>
        <v>146</v>
      </c>
      <c r="B152" s="89" t="s">
        <v>129</v>
      </c>
      <c r="C152" s="38">
        <f t="shared" si="512"/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>
        <v>0</v>
      </c>
      <c r="AM152" s="10">
        <v>0</v>
      </c>
      <c r="AN152" s="10">
        <v>0</v>
      </c>
      <c r="AO152" s="10">
        <v>0</v>
      </c>
      <c r="AP152" s="10">
        <v>0</v>
      </c>
      <c r="AQ152" s="10">
        <v>0</v>
      </c>
      <c r="AR152" s="10">
        <v>0</v>
      </c>
      <c r="AS152" s="10">
        <v>0</v>
      </c>
      <c r="AT152" s="10">
        <v>0</v>
      </c>
      <c r="AU152" s="10">
        <v>0</v>
      </c>
      <c r="AV152" s="10">
        <v>0</v>
      </c>
      <c r="AW152" s="10">
        <v>0</v>
      </c>
      <c r="AX152" s="10">
        <v>0</v>
      </c>
      <c r="AY152" s="10">
        <v>0</v>
      </c>
      <c r="AZ152" s="10">
        <v>0</v>
      </c>
      <c r="BA152" s="10">
        <v>0</v>
      </c>
      <c r="BB152" s="10">
        <v>0</v>
      </c>
      <c r="BC152" s="10">
        <v>0</v>
      </c>
      <c r="BD152" s="10">
        <v>0</v>
      </c>
      <c r="BE152" s="10">
        <v>0</v>
      </c>
      <c r="BF152" s="10">
        <v>0</v>
      </c>
    </row>
    <row r="153" spans="1:58" ht="14.1" customHeight="1">
      <c r="A153" s="412">
        <f t="shared" si="501"/>
        <v>147</v>
      </c>
      <c r="B153" s="89" t="s">
        <v>130</v>
      </c>
      <c r="C153" s="38">
        <f t="shared" si="512"/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v>0</v>
      </c>
      <c r="AV153" s="10">
        <v>0</v>
      </c>
      <c r="AW153" s="10">
        <v>0</v>
      </c>
      <c r="AX153" s="10">
        <v>0</v>
      </c>
      <c r="AY153" s="10">
        <v>0</v>
      </c>
      <c r="AZ153" s="10">
        <v>0</v>
      </c>
      <c r="BA153" s="10">
        <v>0</v>
      </c>
      <c r="BB153" s="10">
        <v>0</v>
      </c>
      <c r="BC153" s="10">
        <v>0</v>
      </c>
      <c r="BD153" s="10">
        <v>0</v>
      </c>
      <c r="BE153" s="10">
        <v>0</v>
      </c>
      <c r="BF153" s="10">
        <v>0</v>
      </c>
    </row>
    <row r="154" spans="1:58" ht="14.1" customHeight="1">
      <c r="A154" s="412">
        <f t="shared" si="501"/>
        <v>148</v>
      </c>
      <c r="B154" s="89" t="s">
        <v>131</v>
      </c>
      <c r="C154" s="38">
        <f t="shared" si="512"/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>
        <v>0</v>
      </c>
      <c r="AM154" s="10">
        <v>0</v>
      </c>
      <c r="AN154" s="10">
        <v>0</v>
      </c>
      <c r="AO154" s="10">
        <v>0</v>
      </c>
      <c r="AP154" s="10">
        <v>0</v>
      </c>
      <c r="AQ154" s="10">
        <v>0</v>
      </c>
      <c r="AR154" s="10">
        <v>0</v>
      </c>
      <c r="AS154" s="10">
        <v>0</v>
      </c>
      <c r="AT154" s="10">
        <v>0</v>
      </c>
      <c r="AU154" s="10">
        <v>0</v>
      </c>
      <c r="AV154" s="10">
        <v>0</v>
      </c>
      <c r="AW154" s="10">
        <v>0</v>
      </c>
      <c r="AX154" s="10">
        <v>0</v>
      </c>
      <c r="AY154" s="10">
        <v>0</v>
      </c>
      <c r="AZ154" s="10">
        <v>0</v>
      </c>
      <c r="BA154" s="10">
        <v>0</v>
      </c>
      <c r="BB154" s="10">
        <v>0</v>
      </c>
      <c r="BC154" s="10">
        <v>0</v>
      </c>
      <c r="BD154" s="10">
        <v>0</v>
      </c>
      <c r="BE154" s="10">
        <v>0</v>
      </c>
      <c r="BF154" s="10">
        <v>0</v>
      </c>
    </row>
    <row r="155" spans="1:58" ht="14.1" customHeight="1">
      <c r="A155" s="412">
        <f t="shared" si="501"/>
        <v>149</v>
      </c>
      <c r="B155" s="89" t="s">
        <v>132</v>
      </c>
      <c r="C155" s="38">
        <f t="shared" si="512"/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v>0</v>
      </c>
      <c r="AV155" s="10">
        <v>0</v>
      </c>
      <c r="AW155" s="10">
        <v>0</v>
      </c>
      <c r="AX155" s="10">
        <v>0</v>
      </c>
      <c r="AY155" s="10">
        <v>0</v>
      </c>
      <c r="AZ155" s="10">
        <v>0</v>
      </c>
      <c r="BA155" s="10">
        <v>0</v>
      </c>
      <c r="BB155" s="10">
        <v>0</v>
      </c>
      <c r="BC155" s="10">
        <v>0</v>
      </c>
      <c r="BD155" s="10">
        <v>0</v>
      </c>
      <c r="BE155" s="10">
        <v>0</v>
      </c>
      <c r="BF155" s="10">
        <v>0</v>
      </c>
    </row>
    <row r="156" spans="1:58" ht="14.1" customHeight="1">
      <c r="A156" s="412">
        <f t="shared" si="501"/>
        <v>150</v>
      </c>
      <c r="B156" s="56" t="s">
        <v>133</v>
      </c>
      <c r="C156" s="38">
        <f t="shared" si="512"/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10">
        <v>0</v>
      </c>
      <c r="AJ156" s="10">
        <v>0</v>
      </c>
      <c r="AK156" s="10">
        <v>0</v>
      </c>
      <c r="AL156" s="10">
        <v>0</v>
      </c>
      <c r="AM156" s="10">
        <v>0</v>
      </c>
      <c r="AN156" s="10">
        <v>0</v>
      </c>
      <c r="AO156" s="10">
        <v>0</v>
      </c>
      <c r="AP156" s="10">
        <v>0</v>
      </c>
      <c r="AQ156" s="10">
        <v>0</v>
      </c>
      <c r="AR156" s="10">
        <v>0</v>
      </c>
      <c r="AS156" s="10">
        <v>0</v>
      </c>
      <c r="AT156" s="10">
        <v>0</v>
      </c>
      <c r="AU156" s="10">
        <v>0</v>
      </c>
      <c r="AV156" s="10">
        <v>0</v>
      </c>
      <c r="AW156" s="10">
        <v>0</v>
      </c>
      <c r="AX156" s="10">
        <v>0</v>
      </c>
      <c r="AY156" s="10">
        <v>0</v>
      </c>
      <c r="AZ156" s="10">
        <v>0</v>
      </c>
      <c r="BA156" s="10">
        <v>0</v>
      </c>
      <c r="BB156" s="10">
        <v>0</v>
      </c>
      <c r="BC156" s="10">
        <v>0</v>
      </c>
      <c r="BD156" s="10">
        <v>0</v>
      </c>
      <c r="BE156" s="10">
        <v>0</v>
      </c>
      <c r="BF156" s="10">
        <v>0</v>
      </c>
    </row>
    <row r="157" spans="1:58" ht="14.1" customHeight="1">
      <c r="A157" s="412">
        <f t="shared" si="501"/>
        <v>151</v>
      </c>
      <c r="B157" s="91" t="s">
        <v>491</v>
      </c>
      <c r="C157" s="86">
        <f>SUM(C145:C156)</f>
        <v>0</v>
      </c>
      <c r="D157" s="86">
        <f>SUM(D145:D156)</f>
        <v>0</v>
      </c>
      <c r="E157" s="86">
        <f>SUM(E145:E156)</f>
        <v>0</v>
      </c>
      <c r="F157" s="86">
        <f t="shared" ref="F157" si="513">SUM(F145:F156)</f>
        <v>0</v>
      </c>
      <c r="G157" s="86">
        <f t="shared" ref="G157" si="514">SUM(G145:G156)</f>
        <v>0</v>
      </c>
      <c r="H157" s="86">
        <f t="shared" ref="H157:BE157" si="515">SUM(H145:H156)</f>
        <v>0</v>
      </c>
      <c r="I157" s="86">
        <f>SUM(I145:I156)</f>
        <v>0</v>
      </c>
      <c r="J157" s="86">
        <f>SUM(J145:J156)</f>
        <v>0</v>
      </c>
      <c r="K157" s="86">
        <f>SUM(K145:K156)</f>
        <v>0</v>
      </c>
      <c r="L157" s="86">
        <f t="shared" ref="L157" si="516">SUM(L145:L156)</f>
        <v>0</v>
      </c>
      <c r="M157" s="86">
        <f t="shared" ref="M157:AB157" si="517">SUM(M145:M156)</f>
        <v>0</v>
      </c>
      <c r="N157" s="86">
        <f t="shared" si="517"/>
        <v>0</v>
      </c>
      <c r="O157" s="86">
        <f t="shared" si="517"/>
        <v>0</v>
      </c>
      <c r="P157" s="86">
        <f t="shared" si="517"/>
        <v>0</v>
      </c>
      <c r="Q157" s="86">
        <f t="shared" si="517"/>
        <v>0</v>
      </c>
      <c r="R157" s="86">
        <f t="shared" si="517"/>
        <v>0</v>
      </c>
      <c r="S157" s="86">
        <f t="shared" si="517"/>
        <v>0</v>
      </c>
      <c r="T157" s="86">
        <f t="shared" si="517"/>
        <v>0</v>
      </c>
      <c r="U157" s="86">
        <f t="shared" si="517"/>
        <v>0</v>
      </c>
      <c r="V157" s="86">
        <f t="shared" si="517"/>
        <v>0</v>
      </c>
      <c r="W157" s="86">
        <f t="shared" si="517"/>
        <v>0</v>
      </c>
      <c r="X157" s="86">
        <f t="shared" si="517"/>
        <v>0</v>
      </c>
      <c r="Y157" s="86">
        <f t="shared" si="517"/>
        <v>0</v>
      </c>
      <c r="Z157" s="86">
        <f t="shared" si="517"/>
        <v>0</v>
      </c>
      <c r="AA157" s="86">
        <f t="shared" si="517"/>
        <v>0</v>
      </c>
      <c r="AB157" s="86">
        <f t="shared" si="517"/>
        <v>0</v>
      </c>
      <c r="AC157" s="86">
        <f t="shared" ref="AC157" si="518">SUM(AC145:AC156)</f>
        <v>0</v>
      </c>
      <c r="AD157" s="86">
        <f>SUM(AD145:AD156)</f>
        <v>0</v>
      </c>
      <c r="AE157" s="86">
        <f>SUM(AE145:AE156)</f>
        <v>0</v>
      </c>
      <c r="AF157" s="86">
        <f t="shared" ref="AF157" si="519">SUM(AF145:AF156)</f>
        <v>0</v>
      </c>
      <c r="AG157" s="86">
        <f t="shared" ref="AG157" si="520">SUM(AG145:AG156)</f>
        <v>0</v>
      </c>
      <c r="AH157" s="86">
        <f>SUM(AH145:AH156)</f>
        <v>0</v>
      </c>
      <c r="AI157" s="86">
        <f>SUM(AI145:AI156)</f>
        <v>0</v>
      </c>
      <c r="AJ157" s="86">
        <f t="shared" ref="AJ157" si="521">SUM(AJ145:AJ156)</f>
        <v>0</v>
      </c>
      <c r="AK157" s="86">
        <f t="shared" ref="AK157:AU157" si="522">SUM(AK145:AK156)</f>
        <v>0</v>
      </c>
      <c r="AL157" s="86">
        <f t="shared" si="522"/>
        <v>0</v>
      </c>
      <c r="AM157" s="86">
        <f t="shared" si="522"/>
        <v>0</v>
      </c>
      <c r="AN157" s="86">
        <f t="shared" si="522"/>
        <v>0</v>
      </c>
      <c r="AO157" s="86">
        <f t="shared" si="522"/>
        <v>0</v>
      </c>
      <c r="AP157" s="86">
        <f t="shared" si="522"/>
        <v>0</v>
      </c>
      <c r="AQ157" s="86">
        <f t="shared" si="522"/>
        <v>0</v>
      </c>
      <c r="AR157" s="86">
        <f t="shared" si="522"/>
        <v>0</v>
      </c>
      <c r="AS157" s="86">
        <f t="shared" si="522"/>
        <v>0</v>
      </c>
      <c r="AT157" s="86">
        <f t="shared" si="522"/>
        <v>0</v>
      </c>
      <c r="AU157" s="86">
        <f t="shared" si="522"/>
        <v>0</v>
      </c>
      <c r="AV157" s="86">
        <f>SUM(AV145:AV156)</f>
        <v>0</v>
      </c>
      <c r="AW157" s="86">
        <f>SUM(AW145:AW156)</f>
        <v>0</v>
      </c>
      <c r="AX157" s="86">
        <f t="shared" si="515"/>
        <v>0</v>
      </c>
      <c r="AY157" s="86">
        <f t="shared" si="515"/>
        <v>0</v>
      </c>
      <c r="AZ157" s="86">
        <f t="shared" si="515"/>
        <v>0</v>
      </c>
      <c r="BA157" s="86">
        <f t="shared" si="515"/>
        <v>0</v>
      </c>
      <c r="BB157" s="86">
        <f t="shared" si="515"/>
        <v>0</v>
      </c>
      <c r="BC157" s="86">
        <f t="shared" si="515"/>
        <v>0</v>
      </c>
      <c r="BD157" s="86">
        <f t="shared" si="515"/>
        <v>0</v>
      </c>
      <c r="BE157" s="86">
        <f t="shared" si="515"/>
        <v>0</v>
      </c>
      <c r="BF157" s="86">
        <f>SUM(BF145:BF156)</f>
        <v>0</v>
      </c>
    </row>
    <row r="158" spans="1:58" ht="14.1" customHeight="1">
      <c r="A158" s="412">
        <f t="shared" si="501"/>
        <v>152</v>
      </c>
      <c r="B158" s="91"/>
      <c r="C158" s="91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</row>
    <row r="159" spans="1:58" s="18" customFormat="1" ht="14.1" customHeight="1">
      <c r="A159" s="412">
        <f t="shared" si="501"/>
        <v>153</v>
      </c>
      <c r="B159" s="91" t="s">
        <v>147</v>
      </c>
      <c r="C159" s="9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</row>
    <row r="160" spans="1:58" s="18" customFormat="1" ht="14.1" customHeight="1">
      <c r="A160" s="412">
        <f t="shared" si="501"/>
        <v>154</v>
      </c>
      <c r="B160" s="25" t="s">
        <v>148</v>
      </c>
      <c r="C160" s="38">
        <f>SUM(D160:BF160)</f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10">
        <v>0</v>
      </c>
      <c r="AJ160" s="10">
        <v>0</v>
      </c>
      <c r="AK160" s="10">
        <v>0</v>
      </c>
      <c r="AL160" s="10">
        <v>0</v>
      </c>
      <c r="AM160" s="10">
        <v>0</v>
      </c>
      <c r="AN160" s="10">
        <v>0</v>
      </c>
      <c r="AO160" s="10">
        <v>0</v>
      </c>
      <c r="AP160" s="10">
        <v>0</v>
      </c>
      <c r="AQ160" s="10">
        <v>0</v>
      </c>
      <c r="AR160" s="10">
        <v>0</v>
      </c>
      <c r="AS160" s="10">
        <v>0</v>
      </c>
      <c r="AT160" s="10">
        <v>0</v>
      </c>
      <c r="AU160" s="10">
        <v>0</v>
      </c>
      <c r="AV160" s="10">
        <v>0</v>
      </c>
      <c r="AW160" s="10">
        <v>0</v>
      </c>
      <c r="AX160" s="10">
        <v>0</v>
      </c>
      <c r="AY160" s="10">
        <v>0</v>
      </c>
      <c r="AZ160" s="10">
        <v>0</v>
      </c>
      <c r="BA160" s="10">
        <v>0</v>
      </c>
      <c r="BB160" s="10">
        <v>0</v>
      </c>
      <c r="BC160" s="10">
        <v>0</v>
      </c>
      <c r="BD160" s="10">
        <v>0</v>
      </c>
      <c r="BE160" s="10">
        <v>0</v>
      </c>
      <c r="BF160" s="10">
        <v>0</v>
      </c>
    </row>
    <row r="161" spans="1:58" s="18" customFormat="1" ht="14.1" customHeight="1">
      <c r="A161" s="412">
        <f t="shared" si="501"/>
        <v>155</v>
      </c>
      <c r="B161" s="25" t="s">
        <v>149</v>
      </c>
      <c r="C161" s="38">
        <f>SUM(D161:BF161)</f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v>0</v>
      </c>
      <c r="AV161" s="10">
        <v>0</v>
      </c>
      <c r="AW161" s="10">
        <v>0</v>
      </c>
      <c r="AX161" s="10">
        <v>0</v>
      </c>
      <c r="AY161" s="10">
        <v>0</v>
      </c>
      <c r="AZ161" s="10">
        <v>0</v>
      </c>
      <c r="BA161" s="10">
        <v>0</v>
      </c>
      <c r="BB161" s="10">
        <v>0</v>
      </c>
      <c r="BC161" s="10">
        <v>0</v>
      </c>
      <c r="BD161" s="10">
        <v>0</v>
      </c>
      <c r="BE161" s="10">
        <v>0</v>
      </c>
      <c r="BF161" s="10">
        <v>0</v>
      </c>
    </row>
    <row r="162" spans="1:58" s="18" customFormat="1" ht="14.1" customHeight="1">
      <c r="A162" s="412">
        <f t="shared" si="501"/>
        <v>156</v>
      </c>
      <c r="B162" s="25" t="s">
        <v>137</v>
      </c>
      <c r="C162" s="38">
        <f>SUM(D162:BF162)</f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  <c r="AH162" s="10">
        <v>0</v>
      </c>
      <c r="AI162" s="10">
        <v>0</v>
      </c>
      <c r="AJ162" s="10">
        <v>0</v>
      </c>
      <c r="AK162" s="10">
        <v>0</v>
      </c>
      <c r="AL162" s="10">
        <v>0</v>
      </c>
      <c r="AM162" s="10">
        <v>0</v>
      </c>
      <c r="AN162" s="10">
        <v>0</v>
      </c>
      <c r="AO162" s="10">
        <v>0</v>
      </c>
      <c r="AP162" s="10">
        <v>0</v>
      </c>
      <c r="AQ162" s="10">
        <v>0</v>
      </c>
      <c r="AR162" s="10">
        <v>0</v>
      </c>
      <c r="AS162" s="10">
        <v>0</v>
      </c>
      <c r="AT162" s="10">
        <v>0</v>
      </c>
      <c r="AU162" s="10">
        <v>0</v>
      </c>
      <c r="AV162" s="10">
        <v>0</v>
      </c>
      <c r="AW162" s="10">
        <v>0</v>
      </c>
      <c r="AX162" s="10">
        <v>0</v>
      </c>
      <c r="AY162" s="10">
        <v>0</v>
      </c>
      <c r="AZ162" s="10">
        <v>0</v>
      </c>
      <c r="BA162" s="10">
        <v>0</v>
      </c>
      <c r="BB162" s="10">
        <v>0</v>
      </c>
      <c r="BC162" s="10">
        <v>0</v>
      </c>
      <c r="BD162" s="10">
        <v>0</v>
      </c>
      <c r="BE162" s="10">
        <v>0</v>
      </c>
      <c r="BF162" s="10">
        <v>0</v>
      </c>
    </row>
    <row r="163" spans="1:58" s="18" customFormat="1" ht="14.1" customHeight="1">
      <c r="A163" s="412">
        <f t="shared" si="501"/>
        <v>157</v>
      </c>
      <c r="B163" s="25" t="s">
        <v>150</v>
      </c>
      <c r="C163" s="38">
        <f>SUM(D163:BF163)</f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v>0</v>
      </c>
      <c r="AV163" s="10">
        <v>0</v>
      </c>
      <c r="AW163" s="10">
        <v>0</v>
      </c>
      <c r="AX163" s="10">
        <v>0</v>
      </c>
      <c r="AY163" s="10">
        <v>0</v>
      </c>
      <c r="AZ163" s="10">
        <v>0</v>
      </c>
      <c r="BA163" s="10">
        <v>0</v>
      </c>
      <c r="BB163" s="10">
        <v>0</v>
      </c>
      <c r="BC163" s="10">
        <v>0</v>
      </c>
      <c r="BD163" s="10">
        <v>0</v>
      </c>
      <c r="BE163" s="10">
        <v>0</v>
      </c>
      <c r="BF163" s="10">
        <v>0</v>
      </c>
    </row>
    <row r="164" spans="1:58" ht="14.1" customHeight="1">
      <c r="A164" s="412">
        <f t="shared" si="501"/>
        <v>158</v>
      </c>
      <c r="B164" s="52" t="s">
        <v>151</v>
      </c>
      <c r="C164" s="38">
        <f>SUM(D164:BF164)</f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0">
        <v>0</v>
      </c>
      <c r="AH164" s="10">
        <v>0</v>
      </c>
      <c r="AI164" s="10">
        <v>0</v>
      </c>
      <c r="AJ164" s="10">
        <v>0</v>
      </c>
      <c r="AK164" s="10">
        <v>0</v>
      </c>
      <c r="AL164" s="10">
        <v>0</v>
      </c>
      <c r="AM164" s="10">
        <v>0</v>
      </c>
      <c r="AN164" s="10">
        <v>0</v>
      </c>
      <c r="AO164" s="10">
        <v>0</v>
      </c>
      <c r="AP164" s="10">
        <v>0</v>
      </c>
      <c r="AQ164" s="10">
        <v>0</v>
      </c>
      <c r="AR164" s="10">
        <v>0</v>
      </c>
      <c r="AS164" s="10">
        <v>0</v>
      </c>
      <c r="AT164" s="10">
        <v>0</v>
      </c>
      <c r="AU164" s="10">
        <v>0</v>
      </c>
      <c r="AV164" s="10">
        <v>0</v>
      </c>
      <c r="AW164" s="10">
        <v>0</v>
      </c>
      <c r="AX164" s="10">
        <v>0</v>
      </c>
      <c r="AY164" s="10">
        <v>0</v>
      </c>
      <c r="AZ164" s="10">
        <v>0</v>
      </c>
      <c r="BA164" s="10">
        <v>0</v>
      </c>
      <c r="BB164" s="10">
        <v>0</v>
      </c>
      <c r="BC164" s="10">
        <v>0</v>
      </c>
      <c r="BD164" s="10">
        <v>0</v>
      </c>
      <c r="BE164" s="10">
        <v>0</v>
      </c>
      <c r="BF164" s="10">
        <v>0</v>
      </c>
    </row>
    <row r="165" spans="1:58" ht="14.1" customHeight="1">
      <c r="A165" s="412">
        <f t="shared" si="501"/>
        <v>159</v>
      </c>
      <c r="B165" s="91" t="s">
        <v>497</v>
      </c>
      <c r="C165" s="86">
        <f>SUM(C160:C164)</f>
        <v>0</v>
      </c>
      <c r="D165" s="86">
        <f>SUM(D160:D164)</f>
        <v>0</v>
      </c>
      <c r="E165" s="86">
        <f>SUM(E160:E164)</f>
        <v>0</v>
      </c>
      <c r="F165" s="86">
        <f t="shared" ref="F165" si="523">SUM(F160:F164)</f>
        <v>0</v>
      </c>
      <c r="G165" s="86">
        <f t="shared" ref="G165" si="524">SUM(G160:G164)</f>
        <v>0</v>
      </c>
      <c r="H165" s="86">
        <f t="shared" ref="H165:BE165" si="525">SUM(H160:H164)</f>
        <v>0</v>
      </c>
      <c r="I165" s="86">
        <f>SUM(I160:I164)</f>
        <v>0</v>
      </c>
      <c r="J165" s="86">
        <f>SUM(J160:J164)</f>
        <v>0</v>
      </c>
      <c r="K165" s="86">
        <f>SUM(K160:K164)</f>
        <v>0</v>
      </c>
      <c r="L165" s="86">
        <f t="shared" ref="L165" si="526">SUM(L160:L164)</f>
        <v>0</v>
      </c>
      <c r="M165" s="86">
        <f t="shared" ref="M165:AB165" si="527">SUM(M160:M164)</f>
        <v>0</v>
      </c>
      <c r="N165" s="86">
        <f t="shared" si="527"/>
        <v>0</v>
      </c>
      <c r="O165" s="86">
        <f t="shared" si="527"/>
        <v>0</v>
      </c>
      <c r="P165" s="86">
        <f t="shared" si="527"/>
        <v>0</v>
      </c>
      <c r="Q165" s="86">
        <f t="shared" si="527"/>
        <v>0</v>
      </c>
      <c r="R165" s="86">
        <f t="shared" si="527"/>
        <v>0</v>
      </c>
      <c r="S165" s="86">
        <f t="shared" si="527"/>
        <v>0</v>
      </c>
      <c r="T165" s="86">
        <f t="shared" si="527"/>
        <v>0</v>
      </c>
      <c r="U165" s="86">
        <f t="shared" si="527"/>
        <v>0</v>
      </c>
      <c r="V165" s="86">
        <f t="shared" si="527"/>
        <v>0</v>
      </c>
      <c r="W165" s="86">
        <f t="shared" si="527"/>
        <v>0</v>
      </c>
      <c r="X165" s="86">
        <f t="shared" si="527"/>
        <v>0</v>
      </c>
      <c r="Y165" s="86">
        <f t="shared" si="527"/>
        <v>0</v>
      </c>
      <c r="Z165" s="86">
        <f t="shared" si="527"/>
        <v>0</v>
      </c>
      <c r="AA165" s="86">
        <f t="shared" si="527"/>
        <v>0</v>
      </c>
      <c r="AB165" s="86">
        <f t="shared" si="527"/>
        <v>0</v>
      </c>
      <c r="AC165" s="86">
        <f t="shared" ref="AC165" si="528">SUM(AC160:AC164)</f>
        <v>0</v>
      </c>
      <c r="AD165" s="86">
        <f>SUM(AD160:AD164)</f>
        <v>0</v>
      </c>
      <c r="AE165" s="86">
        <f>SUM(AE160:AE164)</f>
        <v>0</v>
      </c>
      <c r="AF165" s="86">
        <f t="shared" ref="AF165" si="529">SUM(AF160:AF164)</f>
        <v>0</v>
      </c>
      <c r="AG165" s="86">
        <f t="shared" ref="AG165" si="530">SUM(AG160:AG164)</f>
        <v>0</v>
      </c>
      <c r="AH165" s="86">
        <f>SUM(AH160:AH164)</f>
        <v>0</v>
      </c>
      <c r="AI165" s="86">
        <f>SUM(AI160:AI164)</f>
        <v>0</v>
      </c>
      <c r="AJ165" s="86">
        <f t="shared" ref="AJ165" si="531">SUM(AJ160:AJ164)</f>
        <v>0</v>
      </c>
      <c r="AK165" s="86">
        <f t="shared" ref="AK165:AU165" si="532">SUM(AK160:AK164)</f>
        <v>0</v>
      </c>
      <c r="AL165" s="86">
        <f t="shared" si="532"/>
        <v>0</v>
      </c>
      <c r="AM165" s="86">
        <f t="shared" si="532"/>
        <v>0</v>
      </c>
      <c r="AN165" s="86">
        <f t="shared" si="532"/>
        <v>0</v>
      </c>
      <c r="AO165" s="86">
        <f t="shared" si="532"/>
        <v>0</v>
      </c>
      <c r="AP165" s="86">
        <f t="shared" si="532"/>
        <v>0</v>
      </c>
      <c r="AQ165" s="86">
        <f t="shared" si="532"/>
        <v>0</v>
      </c>
      <c r="AR165" s="86">
        <f t="shared" si="532"/>
        <v>0</v>
      </c>
      <c r="AS165" s="86">
        <f t="shared" si="532"/>
        <v>0</v>
      </c>
      <c r="AT165" s="86">
        <f t="shared" si="532"/>
        <v>0</v>
      </c>
      <c r="AU165" s="86">
        <f t="shared" si="532"/>
        <v>0</v>
      </c>
      <c r="AV165" s="86">
        <f>SUM(AV160:AV164)</f>
        <v>0</v>
      </c>
      <c r="AW165" s="86">
        <f>SUM(AW160:AW164)</f>
        <v>0</v>
      </c>
      <c r="AX165" s="86">
        <f t="shared" si="525"/>
        <v>0</v>
      </c>
      <c r="AY165" s="86">
        <f t="shared" si="525"/>
        <v>0</v>
      </c>
      <c r="AZ165" s="86">
        <f t="shared" si="525"/>
        <v>0</v>
      </c>
      <c r="BA165" s="86">
        <f t="shared" si="525"/>
        <v>0</v>
      </c>
      <c r="BB165" s="86">
        <f t="shared" si="525"/>
        <v>0</v>
      </c>
      <c r="BC165" s="86">
        <f t="shared" si="525"/>
        <v>0</v>
      </c>
      <c r="BD165" s="86">
        <f t="shared" si="525"/>
        <v>0</v>
      </c>
      <c r="BE165" s="86">
        <f t="shared" si="525"/>
        <v>0</v>
      </c>
      <c r="BF165" s="86">
        <f>SUM(BF160:BF164)</f>
        <v>0</v>
      </c>
    </row>
    <row r="166" spans="1:58" s="18" customFormat="1" ht="14.1" customHeight="1">
      <c r="A166" s="412">
        <f t="shared" si="501"/>
        <v>160</v>
      </c>
      <c r="B166" s="25"/>
      <c r="C166" s="25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</row>
    <row r="167" spans="1:58" ht="14.1" customHeight="1">
      <c r="A167" s="412">
        <f t="shared" si="501"/>
        <v>161</v>
      </c>
      <c r="B167" s="25" t="s">
        <v>332</v>
      </c>
      <c r="C167" s="38">
        <f>SUM(D167:BF167)</f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v>0</v>
      </c>
      <c r="AF167" s="16">
        <v>0</v>
      </c>
      <c r="AG167" s="16">
        <v>0</v>
      </c>
      <c r="AH167" s="16">
        <v>0</v>
      </c>
      <c r="AI167" s="16">
        <v>0</v>
      </c>
      <c r="AJ167" s="16">
        <v>0</v>
      </c>
      <c r="AK167" s="16">
        <v>0</v>
      </c>
      <c r="AL167" s="16">
        <v>0</v>
      </c>
      <c r="AM167" s="16">
        <v>0</v>
      </c>
      <c r="AN167" s="16">
        <v>0</v>
      </c>
      <c r="AO167" s="16">
        <v>0</v>
      </c>
      <c r="AP167" s="16">
        <v>0</v>
      </c>
      <c r="AQ167" s="16">
        <v>0</v>
      </c>
      <c r="AR167" s="16">
        <v>0</v>
      </c>
      <c r="AS167" s="16">
        <v>0</v>
      </c>
      <c r="AT167" s="16">
        <v>0</v>
      </c>
      <c r="AU167" s="16">
        <v>0</v>
      </c>
      <c r="AV167" s="16">
        <v>0</v>
      </c>
      <c r="AW167" s="16">
        <v>0</v>
      </c>
      <c r="AX167" s="16">
        <v>0</v>
      </c>
      <c r="AY167" s="16">
        <v>0</v>
      </c>
      <c r="AZ167" s="16">
        <v>0</v>
      </c>
      <c r="BA167" s="16">
        <v>0</v>
      </c>
      <c r="BB167" s="16">
        <v>0</v>
      </c>
      <c r="BC167" s="16">
        <v>0</v>
      </c>
      <c r="BD167" s="16">
        <v>0</v>
      </c>
      <c r="BE167" s="16">
        <v>0</v>
      </c>
      <c r="BF167" s="16">
        <v>0</v>
      </c>
    </row>
    <row r="168" spans="1:58" ht="14.1" customHeight="1">
      <c r="A168" s="412">
        <f t="shared" si="501"/>
        <v>162</v>
      </c>
      <c r="B168" s="52" t="s">
        <v>333</v>
      </c>
      <c r="C168" s="38">
        <f>SUM(D168:BF168)</f>
        <v>0</v>
      </c>
      <c r="D168" s="156">
        <v>0</v>
      </c>
      <c r="E168" s="156">
        <v>0</v>
      </c>
      <c r="F168" s="156">
        <v>0</v>
      </c>
      <c r="G168" s="156">
        <v>0</v>
      </c>
      <c r="H168" s="156">
        <v>0</v>
      </c>
      <c r="I168" s="156">
        <v>0</v>
      </c>
      <c r="J168" s="156">
        <v>0</v>
      </c>
      <c r="K168" s="156">
        <v>0</v>
      </c>
      <c r="L168" s="156">
        <v>0</v>
      </c>
      <c r="M168" s="156">
        <v>0</v>
      </c>
      <c r="N168" s="156">
        <v>0</v>
      </c>
      <c r="O168" s="156">
        <v>0</v>
      </c>
      <c r="P168" s="156">
        <v>0</v>
      </c>
      <c r="Q168" s="156">
        <v>0</v>
      </c>
      <c r="R168" s="156">
        <v>0</v>
      </c>
      <c r="S168" s="156">
        <v>0</v>
      </c>
      <c r="T168" s="156">
        <v>0</v>
      </c>
      <c r="U168" s="156">
        <v>0</v>
      </c>
      <c r="V168" s="156">
        <v>0</v>
      </c>
      <c r="W168" s="156">
        <v>0</v>
      </c>
      <c r="X168" s="156">
        <v>0</v>
      </c>
      <c r="Y168" s="156">
        <v>0</v>
      </c>
      <c r="Z168" s="156">
        <v>0</v>
      </c>
      <c r="AA168" s="156">
        <v>0</v>
      </c>
      <c r="AB168" s="156">
        <v>0</v>
      </c>
      <c r="AC168" s="156">
        <v>0</v>
      </c>
      <c r="AD168" s="156">
        <v>0</v>
      </c>
      <c r="AE168" s="156">
        <v>0</v>
      </c>
      <c r="AF168" s="156">
        <v>0</v>
      </c>
      <c r="AG168" s="156">
        <v>0</v>
      </c>
      <c r="AH168" s="156">
        <v>0</v>
      </c>
      <c r="AI168" s="156">
        <v>0</v>
      </c>
      <c r="AJ168" s="156">
        <v>0</v>
      </c>
      <c r="AK168" s="156">
        <v>0</v>
      </c>
      <c r="AL168" s="156">
        <v>0</v>
      </c>
      <c r="AM168" s="156">
        <v>0</v>
      </c>
      <c r="AN168" s="156">
        <v>0</v>
      </c>
      <c r="AO168" s="156">
        <v>0</v>
      </c>
      <c r="AP168" s="156">
        <v>0</v>
      </c>
      <c r="AQ168" s="156">
        <v>0</v>
      </c>
      <c r="AR168" s="156">
        <v>0</v>
      </c>
      <c r="AS168" s="156">
        <v>0</v>
      </c>
      <c r="AT168" s="156">
        <v>0</v>
      </c>
      <c r="AU168" s="156">
        <v>0</v>
      </c>
      <c r="AV168" s="156">
        <v>0</v>
      </c>
      <c r="AW168" s="156">
        <v>0</v>
      </c>
      <c r="AX168" s="156">
        <v>0</v>
      </c>
      <c r="AY168" s="156">
        <v>0</v>
      </c>
      <c r="AZ168" s="156">
        <v>0</v>
      </c>
      <c r="BA168" s="156">
        <v>0</v>
      </c>
      <c r="BB168" s="156">
        <v>0</v>
      </c>
      <c r="BC168" s="156">
        <v>0</v>
      </c>
      <c r="BD168" s="156">
        <v>0</v>
      </c>
      <c r="BE168" s="156">
        <v>0</v>
      </c>
      <c r="BF168" s="156">
        <v>0</v>
      </c>
    </row>
    <row r="169" spans="1:58" ht="14.1" customHeight="1">
      <c r="A169" s="412">
        <f t="shared" si="501"/>
        <v>163</v>
      </c>
      <c r="B169" s="91" t="s">
        <v>533</v>
      </c>
      <c r="C169" s="86">
        <f>SUM(C167:C168)</f>
        <v>0</v>
      </c>
      <c r="D169" s="86">
        <f>SUM(D167:D168)</f>
        <v>0</v>
      </c>
      <c r="E169" s="86">
        <f>SUM(E167:E168)</f>
        <v>0</v>
      </c>
      <c r="F169" s="86">
        <f t="shared" ref="F169" si="533">SUM(F167:F168)</f>
        <v>0</v>
      </c>
      <c r="G169" s="86">
        <f t="shared" ref="G169" si="534">SUM(G167:G168)</f>
        <v>0</v>
      </c>
      <c r="H169" s="86">
        <f t="shared" ref="H169:BE169" si="535">SUM(H167:H168)</f>
        <v>0</v>
      </c>
      <c r="I169" s="86">
        <f>SUM(I167:I168)</f>
        <v>0</v>
      </c>
      <c r="J169" s="86">
        <f>SUM(J167:J168)</f>
        <v>0</v>
      </c>
      <c r="K169" s="86">
        <f>SUM(K167:K168)</f>
        <v>0</v>
      </c>
      <c r="L169" s="86">
        <f t="shared" ref="L169" si="536">SUM(L167:L168)</f>
        <v>0</v>
      </c>
      <c r="M169" s="86">
        <f t="shared" ref="M169:AB169" si="537">SUM(M167:M168)</f>
        <v>0</v>
      </c>
      <c r="N169" s="86">
        <f t="shared" si="537"/>
        <v>0</v>
      </c>
      <c r="O169" s="86">
        <f t="shared" si="537"/>
        <v>0</v>
      </c>
      <c r="P169" s="86">
        <f t="shared" si="537"/>
        <v>0</v>
      </c>
      <c r="Q169" s="86">
        <f t="shared" si="537"/>
        <v>0</v>
      </c>
      <c r="R169" s="86">
        <f t="shared" si="537"/>
        <v>0</v>
      </c>
      <c r="S169" s="86">
        <f t="shared" si="537"/>
        <v>0</v>
      </c>
      <c r="T169" s="86">
        <f t="shared" si="537"/>
        <v>0</v>
      </c>
      <c r="U169" s="86">
        <f t="shared" si="537"/>
        <v>0</v>
      </c>
      <c r="V169" s="86">
        <f t="shared" si="537"/>
        <v>0</v>
      </c>
      <c r="W169" s="86">
        <f t="shared" si="537"/>
        <v>0</v>
      </c>
      <c r="X169" s="86">
        <f t="shared" si="537"/>
        <v>0</v>
      </c>
      <c r="Y169" s="86">
        <f t="shared" si="537"/>
        <v>0</v>
      </c>
      <c r="Z169" s="86">
        <f t="shared" si="537"/>
        <v>0</v>
      </c>
      <c r="AA169" s="86">
        <f t="shared" si="537"/>
        <v>0</v>
      </c>
      <c r="AB169" s="86">
        <f t="shared" si="537"/>
        <v>0</v>
      </c>
      <c r="AC169" s="86">
        <f t="shared" ref="AC169" si="538">SUM(AC167:AC168)</f>
        <v>0</v>
      </c>
      <c r="AD169" s="86">
        <f>SUM(AD167:AD168)</f>
        <v>0</v>
      </c>
      <c r="AE169" s="86">
        <f>SUM(AE167:AE168)</f>
        <v>0</v>
      </c>
      <c r="AF169" s="86">
        <f t="shared" ref="AF169" si="539">SUM(AF167:AF168)</f>
        <v>0</v>
      </c>
      <c r="AG169" s="86">
        <f t="shared" ref="AG169" si="540">SUM(AG167:AG168)</f>
        <v>0</v>
      </c>
      <c r="AH169" s="86">
        <f>SUM(AH167:AH168)</f>
        <v>0</v>
      </c>
      <c r="AI169" s="86">
        <f>SUM(AI167:AI168)</f>
        <v>0</v>
      </c>
      <c r="AJ169" s="86">
        <f t="shared" ref="AJ169" si="541">SUM(AJ167:AJ168)</f>
        <v>0</v>
      </c>
      <c r="AK169" s="86">
        <f t="shared" ref="AK169:AU169" si="542">SUM(AK167:AK168)</f>
        <v>0</v>
      </c>
      <c r="AL169" s="86">
        <f t="shared" si="542"/>
        <v>0</v>
      </c>
      <c r="AM169" s="86">
        <f t="shared" si="542"/>
        <v>0</v>
      </c>
      <c r="AN169" s="86">
        <f t="shared" si="542"/>
        <v>0</v>
      </c>
      <c r="AO169" s="86">
        <f t="shared" si="542"/>
        <v>0</v>
      </c>
      <c r="AP169" s="86">
        <f t="shared" si="542"/>
        <v>0</v>
      </c>
      <c r="AQ169" s="86">
        <f t="shared" si="542"/>
        <v>0</v>
      </c>
      <c r="AR169" s="86">
        <f t="shared" si="542"/>
        <v>0</v>
      </c>
      <c r="AS169" s="86">
        <f t="shared" si="542"/>
        <v>0</v>
      </c>
      <c r="AT169" s="86">
        <f t="shared" si="542"/>
        <v>0</v>
      </c>
      <c r="AU169" s="86">
        <f t="shared" si="542"/>
        <v>0</v>
      </c>
      <c r="AV169" s="86">
        <f>SUM(AV167:AV168)</f>
        <v>0</v>
      </c>
      <c r="AW169" s="86">
        <f>SUM(AW167:AW168)</f>
        <v>0</v>
      </c>
      <c r="AX169" s="86">
        <f t="shared" si="535"/>
        <v>0</v>
      </c>
      <c r="AY169" s="86">
        <f t="shared" si="535"/>
        <v>0</v>
      </c>
      <c r="AZ169" s="86">
        <f t="shared" si="535"/>
        <v>0</v>
      </c>
      <c r="BA169" s="86">
        <f t="shared" si="535"/>
        <v>0</v>
      </c>
      <c r="BB169" s="86">
        <f t="shared" si="535"/>
        <v>0</v>
      </c>
      <c r="BC169" s="86">
        <f t="shared" si="535"/>
        <v>0</v>
      </c>
      <c r="BD169" s="86">
        <f t="shared" si="535"/>
        <v>0</v>
      </c>
      <c r="BE169" s="86">
        <f t="shared" si="535"/>
        <v>0</v>
      </c>
      <c r="BF169" s="86">
        <f>SUM(BF167:BF168)</f>
        <v>0</v>
      </c>
    </row>
    <row r="170" spans="1:58" ht="14.1" customHeight="1">
      <c r="A170" s="412">
        <f t="shared" si="501"/>
        <v>164</v>
      </c>
      <c r="B170" s="60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  <c r="W170" s="156"/>
      <c r="X170" s="156"/>
      <c r="Y170" s="156"/>
      <c r="Z170" s="156"/>
      <c r="AA170" s="156"/>
      <c r="AB170" s="156"/>
      <c r="AC170" s="156"/>
      <c r="AD170" s="156"/>
      <c r="AE170" s="156"/>
      <c r="AF170" s="156"/>
      <c r="AG170" s="156"/>
      <c r="AH170" s="156"/>
      <c r="AI170" s="156"/>
      <c r="AJ170" s="156"/>
      <c r="AK170" s="156"/>
      <c r="AL170" s="156"/>
      <c r="AM170" s="156"/>
      <c r="AN170" s="156"/>
      <c r="AO170" s="156"/>
      <c r="AP170" s="156"/>
      <c r="AQ170" s="156"/>
      <c r="AR170" s="156"/>
      <c r="AS170" s="156"/>
      <c r="AT170" s="156"/>
      <c r="AU170" s="156"/>
      <c r="AV170" s="156"/>
      <c r="AW170" s="156"/>
      <c r="AX170" s="156"/>
      <c r="AY170" s="156"/>
      <c r="AZ170" s="156"/>
      <c r="BA170" s="156"/>
      <c r="BB170" s="156"/>
      <c r="BC170" s="156"/>
      <c r="BD170" s="156"/>
      <c r="BE170" s="156"/>
      <c r="BF170" s="156"/>
    </row>
    <row r="171" spans="1:58" ht="14.1" customHeight="1" thickBot="1">
      <c r="A171" s="412">
        <f t="shared" si="501"/>
        <v>165</v>
      </c>
      <c r="B171" s="54" t="s">
        <v>134</v>
      </c>
      <c r="C171" s="158">
        <f>C157+C142+C124+C110+C62+C165+C169+C106</f>
        <v>-323154089</v>
      </c>
      <c r="D171" s="158">
        <f t="shared" ref="D171:BF171" si="543">D157+D142+D124+D110+D62+D165+D169+D106</f>
        <v>0</v>
      </c>
      <c r="E171" s="158">
        <f t="shared" si="543"/>
        <v>0</v>
      </c>
      <c r="F171" s="158">
        <f t="shared" si="543"/>
        <v>0</v>
      </c>
      <c r="G171" s="158">
        <f t="shared" si="543"/>
        <v>-323154089</v>
      </c>
      <c r="H171" s="158">
        <f t="shared" si="543"/>
        <v>0</v>
      </c>
      <c r="I171" s="158">
        <f t="shared" si="543"/>
        <v>0</v>
      </c>
      <c r="J171" s="158">
        <f t="shared" si="543"/>
        <v>0</v>
      </c>
      <c r="K171" s="158">
        <f t="shared" si="543"/>
        <v>0</v>
      </c>
      <c r="L171" s="158">
        <f t="shared" si="543"/>
        <v>0</v>
      </c>
      <c r="M171" s="158">
        <f t="shared" si="543"/>
        <v>0</v>
      </c>
      <c r="N171" s="158">
        <f t="shared" si="543"/>
        <v>0</v>
      </c>
      <c r="O171" s="158">
        <f t="shared" si="543"/>
        <v>0</v>
      </c>
      <c r="P171" s="158">
        <f t="shared" si="543"/>
        <v>0</v>
      </c>
      <c r="Q171" s="158">
        <f t="shared" si="543"/>
        <v>0</v>
      </c>
      <c r="R171" s="158">
        <f t="shared" si="543"/>
        <v>0</v>
      </c>
      <c r="S171" s="158">
        <f t="shared" si="543"/>
        <v>0</v>
      </c>
      <c r="T171" s="158">
        <f t="shared" si="543"/>
        <v>0</v>
      </c>
      <c r="U171" s="158">
        <f t="shared" si="543"/>
        <v>0</v>
      </c>
      <c r="V171" s="158">
        <f t="shared" si="543"/>
        <v>0</v>
      </c>
      <c r="W171" s="158">
        <f t="shared" si="543"/>
        <v>0</v>
      </c>
      <c r="X171" s="158">
        <f t="shared" si="543"/>
        <v>0</v>
      </c>
      <c r="Y171" s="158">
        <f t="shared" si="543"/>
        <v>0</v>
      </c>
      <c r="Z171" s="158">
        <f t="shared" si="543"/>
        <v>0</v>
      </c>
      <c r="AA171" s="158">
        <f t="shared" si="543"/>
        <v>0</v>
      </c>
      <c r="AB171" s="158">
        <f t="shared" si="543"/>
        <v>0</v>
      </c>
      <c r="AC171" s="158">
        <f t="shared" si="543"/>
        <v>0</v>
      </c>
      <c r="AD171" s="158">
        <f t="shared" si="543"/>
        <v>0</v>
      </c>
      <c r="AE171" s="158">
        <f t="shared" si="543"/>
        <v>0</v>
      </c>
      <c r="AF171" s="158">
        <f t="shared" si="543"/>
        <v>0</v>
      </c>
      <c r="AG171" s="158">
        <f t="shared" si="543"/>
        <v>0</v>
      </c>
      <c r="AH171" s="158">
        <f t="shared" si="543"/>
        <v>0</v>
      </c>
      <c r="AI171" s="158">
        <f t="shared" si="543"/>
        <v>0</v>
      </c>
      <c r="AJ171" s="158">
        <f t="shared" si="543"/>
        <v>0</v>
      </c>
      <c r="AK171" s="158">
        <f t="shared" si="543"/>
        <v>0</v>
      </c>
      <c r="AL171" s="158">
        <f t="shared" si="543"/>
        <v>0</v>
      </c>
      <c r="AM171" s="158">
        <f t="shared" si="543"/>
        <v>0</v>
      </c>
      <c r="AN171" s="158">
        <f t="shared" si="543"/>
        <v>0</v>
      </c>
      <c r="AO171" s="158">
        <f t="shared" si="543"/>
        <v>0</v>
      </c>
      <c r="AP171" s="158">
        <f t="shared" si="543"/>
        <v>0</v>
      </c>
      <c r="AQ171" s="158">
        <f t="shared" si="543"/>
        <v>0</v>
      </c>
      <c r="AR171" s="158">
        <f t="shared" si="543"/>
        <v>0</v>
      </c>
      <c r="AS171" s="158">
        <f t="shared" si="543"/>
        <v>0</v>
      </c>
      <c r="AT171" s="158">
        <f t="shared" si="543"/>
        <v>0</v>
      </c>
      <c r="AU171" s="158">
        <f t="shared" si="543"/>
        <v>0</v>
      </c>
      <c r="AV171" s="158">
        <f t="shared" si="543"/>
        <v>0</v>
      </c>
      <c r="AW171" s="158">
        <f t="shared" si="543"/>
        <v>0</v>
      </c>
      <c r="AX171" s="158">
        <f t="shared" si="543"/>
        <v>0</v>
      </c>
      <c r="AY171" s="158">
        <f t="shared" si="543"/>
        <v>0</v>
      </c>
      <c r="AZ171" s="158">
        <f t="shared" si="543"/>
        <v>0</v>
      </c>
      <c r="BA171" s="158">
        <f t="shared" si="543"/>
        <v>0</v>
      </c>
      <c r="BB171" s="158">
        <f t="shared" si="543"/>
        <v>0</v>
      </c>
      <c r="BC171" s="158">
        <f t="shared" si="543"/>
        <v>0</v>
      </c>
      <c r="BD171" s="158">
        <f t="shared" si="543"/>
        <v>0</v>
      </c>
      <c r="BE171" s="158">
        <f t="shared" si="543"/>
        <v>0</v>
      </c>
      <c r="BF171" s="158">
        <f t="shared" si="543"/>
        <v>0</v>
      </c>
    </row>
    <row r="172" spans="1:58" ht="14.1" customHeight="1" thickTop="1">
      <c r="A172" s="412">
        <f t="shared" si="501"/>
        <v>166</v>
      </c>
      <c r="C172" s="22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</row>
    <row r="173" spans="1:58" ht="14.1" customHeight="1">
      <c r="A173" s="412">
        <f t="shared" si="501"/>
        <v>167</v>
      </c>
      <c r="B173" s="3" t="s">
        <v>135</v>
      </c>
      <c r="C173" s="3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</row>
    <row r="174" spans="1:58" ht="14.1" customHeight="1">
      <c r="A174" s="412">
        <f t="shared" si="501"/>
        <v>168</v>
      </c>
      <c r="B174" s="89" t="s">
        <v>136</v>
      </c>
      <c r="C174" s="38">
        <f>SUM(D174:BF174)</f>
        <v>-93260268</v>
      </c>
      <c r="D174" s="10">
        <v>0</v>
      </c>
      <c r="E174" s="10">
        <v>0</v>
      </c>
      <c r="F174" s="10">
        <v>0</v>
      </c>
      <c r="G174" s="10">
        <v>-93260268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10">
        <v>0</v>
      </c>
      <c r="AG174" s="10">
        <v>0</v>
      </c>
      <c r="AH174" s="10">
        <v>0</v>
      </c>
      <c r="AI174" s="10">
        <v>0</v>
      </c>
      <c r="AJ174" s="10">
        <v>0</v>
      </c>
      <c r="AK174" s="10">
        <v>0</v>
      </c>
      <c r="AL174" s="10">
        <v>0</v>
      </c>
      <c r="AM174" s="10">
        <v>0</v>
      </c>
      <c r="AN174" s="10">
        <v>0</v>
      </c>
      <c r="AO174" s="10">
        <v>0</v>
      </c>
      <c r="AP174" s="10">
        <v>0</v>
      </c>
      <c r="AQ174" s="10">
        <v>0</v>
      </c>
      <c r="AR174" s="10">
        <v>0</v>
      </c>
      <c r="AS174" s="10">
        <v>0</v>
      </c>
      <c r="AT174" s="10">
        <v>0</v>
      </c>
      <c r="AU174" s="10">
        <v>0</v>
      </c>
      <c r="AV174" s="10">
        <v>0</v>
      </c>
      <c r="AW174" s="10">
        <v>0</v>
      </c>
      <c r="AX174" s="10">
        <v>0</v>
      </c>
      <c r="AY174" s="10">
        <v>0</v>
      </c>
      <c r="AZ174" s="10">
        <v>0</v>
      </c>
      <c r="BA174" s="10">
        <v>0</v>
      </c>
      <c r="BB174" s="10">
        <v>0</v>
      </c>
      <c r="BC174" s="10">
        <v>0</v>
      </c>
      <c r="BD174" s="10">
        <v>0</v>
      </c>
      <c r="BE174" s="10">
        <v>0</v>
      </c>
      <c r="BF174" s="10">
        <v>0</v>
      </c>
    </row>
    <row r="175" spans="1:58" ht="14.1" customHeight="1">
      <c r="A175" s="412">
        <f t="shared" si="501"/>
        <v>169</v>
      </c>
      <c r="B175" s="22" t="s">
        <v>145</v>
      </c>
      <c r="C175" s="38">
        <f>SUM(D175:BF175)</f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v>0</v>
      </c>
      <c r="AV175" s="10">
        <v>0</v>
      </c>
      <c r="AW175" s="10">
        <v>0</v>
      </c>
      <c r="AX175" s="10">
        <v>0</v>
      </c>
      <c r="AY175" s="10">
        <v>0</v>
      </c>
      <c r="AZ175" s="10">
        <v>0</v>
      </c>
      <c r="BA175" s="10">
        <v>0</v>
      </c>
      <c r="BB175" s="10">
        <v>0</v>
      </c>
      <c r="BC175" s="10">
        <v>0</v>
      </c>
      <c r="BD175" s="10">
        <v>0</v>
      </c>
      <c r="BE175" s="10">
        <v>0</v>
      </c>
      <c r="BF175" s="10">
        <v>0</v>
      </c>
    </row>
    <row r="176" spans="1:58" ht="14.1" customHeight="1">
      <c r="A176" s="412">
        <f t="shared" si="501"/>
        <v>170</v>
      </c>
      <c r="B176" s="22" t="s">
        <v>138</v>
      </c>
      <c r="C176" s="38">
        <f>SUM(D176:BF176)</f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0</v>
      </c>
      <c r="AJ176" s="10">
        <v>0</v>
      </c>
      <c r="AK176" s="10">
        <v>0</v>
      </c>
      <c r="AL176" s="10">
        <v>0</v>
      </c>
      <c r="AM176" s="10">
        <v>0</v>
      </c>
      <c r="AN176" s="10">
        <v>0</v>
      </c>
      <c r="AO176" s="10">
        <v>0</v>
      </c>
      <c r="AP176" s="10">
        <v>0</v>
      </c>
      <c r="AQ176" s="10">
        <v>0</v>
      </c>
      <c r="AR176" s="10">
        <v>0</v>
      </c>
      <c r="AS176" s="10">
        <v>0</v>
      </c>
      <c r="AT176" s="10">
        <v>0</v>
      </c>
      <c r="AU176" s="10">
        <v>0</v>
      </c>
      <c r="AV176" s="10">
        <v>0</v>
      </c>
      <c r="AW176" s="10">
        <v>0</v>
      </c>
      <c r="AX176" s="10">
        <v>0</v>
      </c>
      <c r="AY176" s="10">
        <v>0</v>
      </c>
      <c r="AZ176" s="10">
        <v>0</v>
      </c>
      <c r="BA176" s="10">
        <v>0</v>
      </c>
      <c r="BB176" s="10">
        <v>0</v>
      </c>
      <c r="BC176" s="10">
        <v>0</v>
      </c>
      <c r="BD176" s="10">
        <v>0</v>
      </c>
      <c r="BE176" s="10">
        <v>0</v>
      </c>
      <c r="BF176" s="10">
        <v>0</v>
      </c>
    </row>
    <row r="177" spans="1:58" ht="13.5" customHeight="1">
      <c r="A177" s="412">
        <f t="shared" si="501"/>
        <v>171</v>
      </c>
      <c r="B177" s="22" t="s">
        <v>139</v>
      </c>
      <c r="C177" s="38">
        <f>SUM(D177:BF177)</f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v>0</v>
      </c>
      <c r="AV177" s="10">
        <v>0</v>
      </c>
      <c r="AW177" s="10">
        <v>0</v>
      </c>
      <c r="AX177" s="10">
        <v>0</v>
      </c>
      <c r="AY177" s="10">
        <v>0</v>
      </c>
      <c r="AZ177" s="10">
        <v>0</v>
      </c>
      <c r="BA177" s="10">
        <v>0</v>
      </c>
      <c r="BB177" s="10">
        <v>0</v>
      </c>
      <c r="BC177" s="10">
        <v>0</v>
      </c>
      <c r="BD177" s="10">
        <v>0</v>
      </c>
      <c r="BE177" s="10">
        <v>0</v>
      </c>
      <c r="BF177" s="10">
        <v>0</v>
      </c>
    </row>
    <row r="178" spans="1:58" ht="14.1" customHeight="1">
      <c r="A178" s="412">
        <f t="shared" si="501"/>
        <v>172</v>
      </c>
      <c r="B178" s="91" t="s">
        <v>488</v>
      </c>
      <c r="C178" s="86">
        <f t="shared" ref="C178:H178" si="544">SUM(C174:C177)</f>
        <v>-93260268</v>
      </c>
      <c r="D178" s="86">
        <f t="shared" si="544"/>
        <v>0</v>
      </c>
      <c r="E178" s="86">
        <f t="shared" ref="E178" si="545">SUM(E174:E177)</f>
        <v>0</v>
      </c>
      <c r="F178" s="86">
        <f t="shared" ref="F178" si="546">SUM(F174:F177)</f>
        <v>0</v>
      </c>
      <c r="G178" s="86">
        <f t="shared" ref="G178" si="547">SUM(G174:G177)</f>
        <v>-93260268</v>
      </c>
      <c r="H178" s="86">
        <f t="shared" si="544"/>
        <v>0</v>
      </c>
      <c r="I178" s="86">
        <f>SUM(I174:I177)</f>
        <v>0</v>
      </c>
      <c r="J178" s="86">
        <f>SUM(J174:J177)</f>
        <v>0</v>
      </c>
      <c r="K178" s="86">
        <f>SUM(K174:K177)</f>
        <v>0</v>
      </c>
      <c r="L178" s="86">
        <f t="shared" ref="L178" si="548">SUM(L174:L177)</f>
        <v>0</v>
      </c>
      <c r="M178" s="86">
        <f t="shared" ref="M178:AB178" si="549">SUM(M174:M177)</f>
        <v>0</v>
      </c>
      <c r="N178" s="86">
        <f t="shared" si="549"/>
        <v>0</v>
      </c>
      <c r="O178" s="86">
        <f t="shared" si="549"/>
        <v>0</v>
      </c>
      <c r="P178" s="86">
        <f t="shared" si="549"/>
        <v>0</v>
      </c>
      <c r="Q178" s="86">
        <f t="shared" si="549"/>
        <v>0</v>
      </c>
      <c r="R178" s="86">
        <f t="shared" si="549"/>
        <v>0</v>
      </c>
      <c r="S178" s="86">
        <f t="shared" si="549"/>
        <v>0</v>
      </c>
      <c r="T178" s="86">
        <f t="shared" si="549"/>
        <v>0</v>
      </c>
      <c r="U178" s="86">
        <f t="shared" si="549"/>
        <v>0</v>
      </c>
      <c r="V178" s="86">
        <f t="shared" si="549"/>
        <v>0</v>
      </c>
      <c r="W178" s="86">
        <f t="shared" si="549"/>
        <v>0</v>
      </c>
      <c r="X178" s="86">
        <f t="shared" si="549"/>
        <v>0</v>
      </c>
      <c r="Y178" s="86">
        <f t="shared" si="549"/>
        <v>0</v>
      </c>
      <c r="Z178" s="86">
        <f t="shared" si="549"/>
        <v>0</v>
      </c>
      <c r="AA178" s="86">
        <f t="shared" si="549"/>
        <v>0</v>
      </c>
      <c r="AB178" s="86">
        <f t="shared" si="549"/>
        <v>0</v>
      </c>
      <c r="AC178" s="86">
        <f t="shared" ref="AC178" si="550">SUM(AC174:AC177)</f>
        <v>0</v>
      </c>
      <c r="AD178" s="86">
        <f>SUM(AD174:AD177)</f>
        <v>0</v>
      </c>
      <c r="AE178" s="86">
        <f>SUM(AE174:AE177)</f>
        <v>0</v>
      </c>
      <c r="AF178" s="86">
        <f t="shared" ref="AF178" si="551">SUM(AF174:AF177)</f>
        <v>0</v>
      </c>
      <c r="AG178" s="86">
        <f t="shared" ref="AG178" si="552">SUM(AG174:AG177)</f>
        <v>0</v>
      </c>
      <c r="AH178" s="86">
        <f t="shared" ref="AH178:AU178" si="553">SUM(AH174:AH177)</f>
        <v>0</v>
      </c>
      <c r="AI178" s="86">
        <f t="shared" si="553"/>
        <v>0</v>
      </c>
      <c r="AJ178" s="86">
        <f t="shared" si="553"/>
        <v>0</v>
      </c>
      <c r="AK178" s="86">
        <f t="shared" si="553"/>
        <v>0</v>
      </c>
      <c r="AL178" s="86">
        <f t="shared" si="553"/>
        <v>0</v>
      </c>
      <c r="AM178" s="86">
        <f t="shared" si="553"/>
        <v>0</v>
      </c>
      <c r="AN178" s="86">
        <f t="shared" si="553"/>
        <v>0</v>
      </c>
      <c r="AO178" s="86">
        <f t="shared" si="553"/>
        <v>0</v>
      </c>
      <c r="AP178" s="86">
        <f t="shared" si="553"/>
        <v>0</v>
      </c>
      <c r="AQ178" s="86">
        <f t="shared" si="553"/>
        <v>0</v>
      </c>
      <c r="AR178" s="86">
        <f t="shared" si="553"/>
        <v>0</v>
      </c>
      <c r="AS178" s="86">
        <f t="shared" si="553"/>
        <v>0</v>
      </c>
      <c r="AT178" s="86">
        <f t="shared" si="553"/>
        <v>0</v>
      </c>
      <c r="AU178" s="86">
        <f t="shared" si="553"/>
        <v>0</v>
      </c>
      <c r="AV178" s="86">
        <f>SUM(AV174:AV177)</f>
        <v>0</v>
      </c>
      <c r="AW178" s="86">
        <f>SUM(AW174:AW177)</f>
        <v>0</v>
      </c>
      <c r="AX178" s="86">
        <f t="shared" ref="AX178:AY178" si="554">SUM(AX174:AX177)</f>
        <v>0</v>
      </c>
      <c r="AY178" s="86">
        <f t="shared" si="554"/>
        <v>0</v>
      </c>
      <c r="AZ178" s="86">
        <f>SUM(AZ174:AZ177)</f>
        <v>0</v>
      </c>
      <c r="BA178" s="86">
        <f t="shared" ref="BA178" si="555">SUM(BA174:BA177)</f>
        <v>0</v>
      </c>
      <c r="BB178" s="86">
        <f>SUM(BB174:BB177)</f>
        <v>0</v>
      </c>
      <c r="BC178" s="86">
        <f t="shared" ref="BC178:BE178" si="556">SUM(BC174:BC177)</f>
        <v>0</v>
      </c>
      <c r="BD178" s="86">
        <f t="shared" si="556"/>
        <v>0</v>
      </c>
      <c r="BE178" s="86">
        <f t="shared" si="556"/>
        <v>0</v>
      </c>
      <c r="BF178" s="86">
        <f>SUM(BF174:BF177)</f>
        <v>0</v>
      </c>
    </row>
    <row r="179" spans="1:58" ht="14.1" customHeight="1">
      <c r="A179" s="412">
        <f t="shared" si="501"/>
        <v>173</v>
      </c>
      <c r="B179" s="25"/>
      <c r="C179" s="25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</row>
    <row r="180" spans="1:58" ht="14.1" customHeight="1">
      <c r="A180" s="412">
        <f t="shared" si="501"/>
        <v>174</v>
      </c>
      <c r="B180" s="91" t="s">
        <v>140</v>
      </c>
      <c r="C180" s="91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</row>
    <row r="181" spans="1:58" ht="14.1" customHeight="1">
      <c r="A181" s="412">
        <f t="shared" si="501"/>
        <v>175</v>
      </c>
      <c r="B181" s="22" t="s">
        <v>143</v>
      </c>
      <c r="C181" s="38">
        <f>SUM(D181:BF181)</f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v>0</v>
      </c>
      <c r="AV181" s="10">
        <v>0</v>
      </c>
      <c r="AW181" s="10">
        <v>0</v>
      </c>
      <c r="AX181" s="10">
        <v>0</v>
      </c>
      <c r="AY181" s="10">
        <v>0</v>
      </c>
      <c r="AZ181" s="10">
        <v>0</v>
      </c>
      <c r="BA181" s="10">
        <v>0</v>
      </c>
      <c r="BB181" s="10">
        <v>0</v>
      </c>
      <c r="BC181" s="10">
        <v>0</v>
      </c>
      <c r="BD181" s="10">
        <v>0</v>
      </c>
      <c r="BE181" s="10">
        <v>0</v>
      </c>
      <c r="BF181" s="10">
        <v>0</v>
      </c>
    </row>
    <row r="182" spans="1:58" ht="14.1" customHeight="1">
      <c r="A182" s="412">
        <f t="shared" si="501"/>
        <v>176</v>
      </c>
      <c r="B182" s="22" t="s">
        <v>136</v>
      </c>
      <c r="C182" s="38">
        <f>SUM(D182:BF182)</f>
        <v>0</v>
      </c>
      <c r="D182" s="43">
        <v>0</v>
      </c>
      <c r="E182" s="43"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v>0</v>
      </c>
      <c r="O182" s="43">
        <v>0</v>
      </c>
      <c r="P182" s="43">
        <v>0</v>
      </c>
      <c r="Q182" s="43">
        <v>0</v>
      </c>
      <c r="R182" s="43">
        <v>0</v>
      </c>
      <c r="S182" s="43">
        <v>0</v>
      </c>
      <c r="T182" s="43">
        <v>0</v>
      </c>
      <c r="U182" s="43">
        <v>0</v>
      </c>
      <c r="V182" s="43">
        <v>0</v>
      </c>
      <c r="W182" s="43">
        <v>0</v>
      </c>
      <c r="X182" s="43">
        <v>0</v>
      </c>
      <c r="Y182" s="43">
        <v>0</v>
      </c>
      <c r="Z182" s="43">
        <v>0</v>
      </c>
      <c r="AA182" s="43">
        <v>0</v>
      </c>
      <c r="AB182" s="43">
        <v>0</v>
      </c>
      <c r="AC182" s="43">
        <v>0</v>
      </c>
      <c r="AD182" s="43">
        <v>0</v>
      </c>
      <c r="AE182" s="43">
        <v>0</v>
      </c>
      <c r="AF182" s="43">
        <v>0</v>
      </c>
      <c r="AG182" s="43">
        <v>0</v>
      </c>
      <c r="AH182" s="43">
        <v>0</v>
      </c>
      <c r="AI182" s="43">
        <v>0</v>
      </c>
      <c r="AJ182" s="43">
        <v>0</v>
      </c>
      <c r="AK182" s="43">
        <v>0</v>
      </c>
      <c r="AL182" s="43">
        <v>0</v>
      </c>
      <c r="AM182" s="43">
        <v>0</v>
      </c>
      <c r="AN182" s="43">
        <v>0</v>
      </c>
      <c r="AO182" s="43">
        <v>0</v>
      </c>
      <c r="AP182" s="43">
        <v>0</v>
      </c>
      <c r="AQ182" s="43">
        <v>0</v>
      </c>
      <c r="AR182" s="43">
        <v>0</v>
      </c>
      <c r="AS182" s="43">
        <v>0</v>
      </c>
      <c r="AT182" s="43">
        <v>0</v>
      </c>
      <c r="AU182" s="43">
        <v>0</v>
      </c>
      <c r="AV182" s="43">
        <v>0</v>
      </c>
      <c r="AW182" s="43">
        <v>0</v>
      </c>
      <c r="AX182" s="43">
        <v>0</v>
      </c>
      <c r="AY182" s="43">
        <v>0</v>
      </c>
      <c r="AZ182" s="43">
        <v>0</v>
      </c>
      <c r="BA182" s="43">
        <v>0</v>
      </c>
      <c r="BB182" s="43">
        <v>0</v>
      </c>
      <c r="BC182" s="43">
        <v>0</v>
      </c>
      <c r="BD182" s="43">
        <v>0</v>
      </c>
      <c r="BE182" s="43">
        <v>0</v>
      </c>
      <c r="BF182" s="43">
        <v>0</v>
      </c>
    </row>
    <row r="183" spans="1:58" ht="14.1" customHeight="1">
      <c r="A183" s="412">
        <f t="shared" si="501"/>
        <v>177</v>
      </c>
      <c r="B183" s="22" t="s">
        <v>137</v>
      </c>
      <c r="C183" s="38">
        <f>SUM(D183:BF183)</f>
        <v>0</v>
      </c>
      <c r="D183" s="43">
        <v>0</v>
      </c>
      <c r="E183" s="43"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3">
        <v>0</v>
      </c>
      <c r="Q183" s="43">
        <v>0</v>
      </c>
      <c r="R183" s="43">
        <v>0</v>
      </c>
      <c r="S183" s="43">
        <v>0</v>
      </c>
      <c r="T183" s="43">
        <v>0</v>
      </c>
      <c r="U183" s="43">
        <v>0</v>
      </c>
      <c r="V183" s="43">
        <v>0</v>
      </c>
      <c r="W183" s="43">
        <v>0</v>
      </c>
      <c r="X183" s="43">
        <v>0</v>
      </c>
      <c r="Y183" s="43">
        <v>0</v>
      </c>
      <c r="Z183" s="43">
        <v>0</v>
      </c>
      <c r="AA183" s="43">
        <v>0</v>
      </c>
      <c r="AB183" s="43">
        <v>0</v>
      </c>
      <c r="AC183" s="43">
        <v>0</v>
      </c>
      <c r="AD183" s="43">
        <v>0</v>
      </c>
      <c r="AE183" s="43">
        <v>0</v>
      </c>
      <c r="AF183" s="43">
        <v>0</v>
      </c>
      <c r="AG183" s="43">
        <v>0</v>
      </c>
      <c r="AH183" s="43">
        <v>0</v>
      </c>
      <c r="AI183" s="43">
        <v>0</v>
      </c>
      <c r="AJ183" s="43">
        <v>0</v>
      </c>
      <c r="AK183" s="43">
        <v>0</v>
      </c>
      <c r="AL183" s="43">
        <v>0</v>
      </c>
      <c r="AM183" s="43">
        <v>0</v>
      </c>
      <c r="AN183" s="43">
        <v>0</v>
      </c>
      <c r="AO183" s="43">
        <v>0</v>
      </c>
      <c r="AP183" s="43">
        <v>0</v>
      </c>
      <c r="AQ183" s="43">
        <v>0</v>
      </c>
      <c r="AR183" s="43">
        <v>0</v>
      </c>
      <c r="AS183" s="43">
        <v>0</v>
      </c>
      <c r="AT183" s="43">
        <v>0</v>
      </c>
      <c r="AU183" s="43">
        <v>0</v>
      </c>
      <c r="AV183" s="43">
        <v>0</v>
      </c>
      <c r="AW183" s="43">
        <v>0</v>
      </c>
      <c r="AX183" s="43">
        <v>0</v>
      </c>
      <c r="AY183" s="43">
        <v>0</v>
      </c>
      <c r="AZ183" s="43">
        <v>0</v>
      </c>
      <c r="BA183" s="43">
        <v>0</v>
      </c>
      <c r="BB183" s="43">
        <v>0</v>
      </c>
      <c r="BC183" s="43">
        <v>0</v>
      </c>
      <c r="BD183" s="43">
        <v>0</v>
      </c>
      <c r="BE183" s="43">
        <v>0</v>
      </c>
      <c r="BF183" s="43">
        <v>0</v>
      </c>
    </row>
    <row r="184" spans="1:58" ht="14.1" customHeight="1">
      <c r="A184" s="412">
        <f t="shared" si="501"/>
        <v>178</v>
      </c>
      <c r="B184" s="22" t="s">
        <v>138</v>
      </c>
      <c r="C184" s="38">
        <f>SUM(D184:BF184)</f>
        <v>0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v>0</v>
      </c>
      <c r="O184" s="43">
        <v>0</v>
      </c>
      <c r="P184" s="43">
        <v>0</v>
      </c>
      <c r="Q184" s="43">
        <v>0</v>
      </c>
      <c r="R184" s="43">
        <v>0</v>
      </c>
      <c r="S184" s="43">
        <v>0</v>
      </c>
      <c r="T184" s="43">
        <v>0</v>
      </c>
      <c r="U184" s="43">
        <v>0</v>
      </c>
      <c r="V184" s="43">
        <v>0</v>
      </c>
      <c r="W184" s="43">
        <v>0</v>
      </c>
      <c r="X184" s="43">
        <v>0</v>
      </c>
      <c r="Y184" s="43">
        <v>0</v>
      </c>
      <c r="Z184" s="43">
        <v>0</v>
      </c>
      <c r="AA184" s="43">
        <v>0</v>
      </c>
      <c r="AB184" s="43">
        <v>0</v>
      </c>
      <c r="AC184" s="43">
        <v>0</v>
      </c>
      <c r="AD184" s="43">
        <v>0</v>
      </c>
      <c r="AE184" s="43">
        <v>0</v>
      </c>
      <c r="AF184" s="43">
        <v>0</v>
      </c>
      <c r="AG184" s="43">
        <v>0</v>
      </c>
      <c r="AH184" s="43">
        <v>0</v>
      </c>
      <c r="AI184" s="43">
        <v>0</v>
      </c>
      <c r="AJ184" s="43">
        <v>0</v>
      </c>
      <c r="AK184" s="43">
        <v>0</v>
      </c>
      <c r="AL184" s="43">
        <v>0</v>
      </c>
      <c r="AM184" s="43">
        <v>0</v>
      </c>
      <c r="AN184" s="43">
        <v>0</v>
      </c>
      <c r="AO184" s="43">
        <v>0</v>
      </c>
      <c r="AP184" s="43">
        <v>0</v>
      </c>
      <c r="AQ184" s="43">
        <v>0</v>
      </c>
      <c r="AR184" s="43">
        <v>0</v>
      </c>
      <c r="AS184" s="43">
        <v>0</v>
      </c>
      <c r="AT184" s="43">
        <v>0</v>
      </c>
      <c r="AU184" s="43">
        <v>0</v>
      </c>
      <c r="AV184" s="43">
        <v>0</v>
      </c>
      <c r="AW184" s="43">
        <v>0</v>
      </c>
      <c r="AX184" s="43">
        <v>0</v>
      </c>
      <c r="AY184" s="43">
        <v>0</v>
      </c>
      <c r="AZ184" s="43">
        <v>0</v>
      </c>
      <c r="BA184" s="43">
        <v>0</v>
      </c>
      <c r="BB184" s="43">
        <v>0</v>
      </c>
      <c r="BC184" s="43">
        <v>0</v>
      </c>
      <c r="BD184" s="43">
        <v>0</v>
      </c>
      <c r="BE184" s="43">
        <v>0</v>
      </c>
      <c r="BF184" s="43">
        <v>0</v>
      </c>
    </row>
    <row r="185" spans="1:58" s="18" customFormat="1" ht="14.1" customHeight="1">
      <c r="A185" s="412">
        <f t="shared" si="501"/>
        <v>179</v>
      </c>
      <c r="B185" s="56" t="s">
        <v>139</v>
      </c>
      <c r="C185" s="212">
        <f>SUM(D185:BF185)</f>
        <v>0</v>
      </c>
      <c r="D185" s="64">
        <v>0</v>
      </c>
      <c r="E185" s="64">
        <v>0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0</v>
      </c>
      <c r="R185" s="64">
        <v>0</v>
      </c>
      <c r="S185" s="64">
        <v>0</v>
      </c>
      <c r="T185" s="64">
        <v>0</v>
      </c>
      <c r="U185" s="64">
        <v>0</v>
      </c>
      <c r="V185" s="64">
        <v>0</v>
      </c>
      <c r="W185" s="64">
        <v>0</v>
      </c>
      <c r="X185" s="64">
        <v>0</v>
      </c>
      <c r="Y185" s="64">
        <v>0</v>
      </c>
      <c r="Z185" s="64">
        <v>0</v>
      </c>
      <c r="AA185" s="64">
        <v>0</v>
      </c>
      <c r="AB185" s="64">
        <v>0</v>
      </c>
      <c r="AC185" s="64">
        <v>0</v>
      </c>
      <c r="AD185" s="64">
        <v>0</v>
      </c>
      <c r="AE185" s="64">
        <v>0</v>
      </c>
      <c r="AF185" s="64">
        <v>0</v>
      </c>
      <c r="AG185" s="64">
        <v>0</v>
      </c>
      <c r="AH185" s="64">
        <v>0</v>
      </c>
      <c r="AI185" s="64">
        <v>0</v>
      </c>
      <c r="AJ185" s="64">
        <v>0</v>
      </c>
      <c r="AK185" s="64">
        <v>0</v>
      </c>
      <c r="AL185" s="64">
        <v>0</v>
      </c>
      <c r="AM185" s="64">
        <v>0</v>
      </c>
      <c r="AN185" s="64">
        <v>0</v>
      </c>
      <c r="AO185" s="64">
        <v>0</v>
      </c>
      <c r="AP185" s="64">
        <v>0</v>
      </c>
      <c r="AQ185" s="64">
        <v>0</v>
      </c>
      <c r="AR185" s="64">
        <v>0</v>
      </c>
      <c r="AS185" s="64">
        <v>0</v>
      </c>
      <c r="AT185" s="64">
        <v>0</v>
      </c>
      <c r="AU185" s="64">
        <v>0</v>
      </c>
      <c r="AV185" s="64">
        <v>0</v>
      </c>
      <c r="AW185" s="64">
        <v>0</v>
      </c>
      <c r="AX185" s="64">
        <v>0</v>
      </c>
      <c r="AY185" s="64">
        <v>0</v>
      </c>
      <c r="AZ185" s="64">
        <v>0</v>
      </c>
      <c r="BA185" s="64">
        <v>0</v>
      </c>
      <c r="BB185" s="64">
        <v>0</v>
      </c>
      <c r="BC185" s="64">
        <v>0</v>
      </c>
      <c r="BD185" s="64">
        <v>0</v>
      </c>
      <c r="BE185" s="64">
        <v>0</v>
      </c>
      <c r="BF185" s="64">
        <v>0</v>
      </c>
    </row>
    <row r="186" spans="1:58" ht="14.1" customHeight="1">
      <c r="A186" s="412">
        <f t="shared" si="501"/>
        <v>180</v>
      </c>
      <c r="B186" s="91" t="s">
        <v>492</v>
      </c>
      <c r="C186" s="16">
        <f>SUM(C181:C185)</f>
        <v>0</v>
      </c>
      <c r="D186" s="16">
        <f>SUM(D181:D185)</f>
        <v>0</v>
      </c>
      <c r="E186" s="16">
        <f>SUM(E181:E185)</f>
        <v>0</v>
      </c>
      <c r="F186" s="16">
        <f t="shared" ref="F186" si="557">SUM(F181:F185)</f>
        <v>0</v>
      </c>
      <c r="G186" s="16">
        <f t="shared" ref="G186" si="558">SUM(G181:G185)</f>
        <v>0</v>
      </c>
      <c r="H186" s="16">
        <f t="shared" ref="H186:AZ186" si="559">SUM(H181:H185)</f>
        <v>0</v>
      </c>
      <c r="I186" s="16">
        <f>SUM(I181:I185)</f>
        <v>0</v>
      </c>
      <c r="J186" s="16">
        <f>SUM(J181:J185)</f>
        <v>0</v>
      </c>
      <c r="K186" s="16">
        <f>SUM(K181:K185)</f>
        <v>0</v>
      </c>
      <c r="L186" s="16">
        <f t="shared" ref="L186" si="560">SUM(L181:L185)</f>
        <v>0</v>
      </c>
      <c r="M186" s="16">
        <f t="shared" ref="M186:AB186" si="561">SUM(M181:M185)</f>
        <v>0</v>
      </c>
      <c r="N186" s="16">
        <f t="shared" si="561"/>
        <v>0</v>
      </c>
      <c r="O186" s="16">
        <f t="shared" si="561"/>
        <v>0</v>
      </c>
      <c r="P186" s="16">
        <f t="shared" si="561"/>
        <v>0</v>
      </c>
      <c r="Q186" s="16">
        <f t="shared" si="561"/>
        <v>0</v>
      </c>
      <c r="R186" s="16">
        <f t="shared" si="561"/>
        <v>0</v>
      </c>
      <c r="S186" s="16">
        <f t="shared" si="561"/>
        <v>0</v>
      </c>
      <c r="T186" s="16">
        <f t="shared" si="561"/>
        <v>0</v>
      </c>
      <c r="U186" s="16">
        <f t="shared" si="561"/>
        <v>0</v>
      </c>
      <c r="V186" s="16">
        <f t="shared" si="561"/>
        <v>0</v>
      </c>
      <c r="W186" s="16">
        <f t="shared" si="561"/>
        <v>0</v>
      </c>
      <c r="X186" s="16">
        <f t="shared" si="561"/>
        <v>0</v>
      </c>
      <c r="Y186" s="16">
        <f t="shared" si="561"/>
        <v>0</v>
      </c>
      <c r="Z186" s="16">
        <f t="shared" si="561"/>
        <v>0</v>
      </c>
      <c r="AA186" s="16">
        <f t="shared" si="561"/>
        <v>0</v>
      </c>
      <c r="AB186" s="16">
        <f t="shared" si="561"/>
        <v>0</v>
      </c>
      <c r="AC186" s="16">
        <f t="shared" ref="AC186" si="562">SUM(AC181:AC185)</f>
        <v>0</v>
      </c>
      <c r="AD186" s="16">
        <f>SUM(AD181:AD185)</f>
        <v>0</v>
      </c>
      <c r="AE186" s="16">
        <f>SUM(AE181:AE185)</f>
        <v>0</v>
      </c>
      <c r="AF186" s="16">
        <f t="shared" ref="AF186" si="563">SUM(AF181:AF185)</f>
        <v>0</v>
      </c>
      <c r="AG186" s="16">
        <f t="shared" ref="AG186" si="564">SUM(AG181:AG185)</f>
        <v>0</v>
      </c>
      <c r="AH186" s="16">
        <f>SUM(AH181:AH185)</f>
        <v>0</v>
      </c>
      <c r="AI186" s="16">
        <f>SUM(AI181:AI185)</f>
        <v>0</v>
      </c>
      <c r="AJ186" s="16">
        <f t="shared" ref="AJ186" si="565">SUM(AJ181:AJ185)</f>
        <v>0</v>
      </c>
      <c r="AK186" s="16">
        <f t="shared" ref="AK186:AU186" si="566">SUM(AK181:AK185)</f>
        <v>0</v>
      </c>
      <c r="AL186" s="16">
        <f t="shared" si="566"/>
        <v>0</v>
      </c>
      <c r="AM186" s="16">
        <f t="shared" si="566"/>
        <v>0</v>
      </c>
      <c r="AN186" s="16">
        <f t="shared" si="566"/>
        <v>0</v>
      </c>
      <c r="AO186" s="16">
        <f t="shared" si="566"/>
        <v>0</v>
      </c>
      <c r="AP186" s="16">
        <f t="shared" si="566"/>
        <v>0</v>
      </c>
      <c r="AQ186" s="16">
        <f t="shared" si="566"/>
        <v>0</v>
      </c>
      <c r="AR186" s="16">
        <f t="shared" si="566"/>
        <v>0</v>
      </c>
      <c r="AS186" s="16">
        <f t="shared" si="566"/>
        <v>0</v>
      </c>
      <c r="AT186" s="16">
        <f t="shared" si="566"/>
        <v>0</v>
      </c>
      <c r="AU186" s="16">
        <f t="shared" si="566"/>
        <v>0</v>
      </c>
      <c r="AV186" s="16">
        <f>SUM(AV181:AV185)</f>
        <v>0</v>
      </c>
      <c r="AW186" s="16">
        <f>SUM(AW181:AW185)</f>
        <v>0</v>
      </c>
      <c r="AX186" s="16">
        <f t="shared" si="559"/>
        <v>0</v>
      </c>
      <c r="AY186" s="16">
        <f t="shared" si="559"/>
        <v>0</v>
      </c>
      <c r="AZ186" s="16">
        <f t="shared" si="559"/>
        <v>0</v>
      </c>
      <c r="BA186" s="16">
        <f t="shared" ref="BA186:BE186" si="567">SUM(BA181:BA185)</f>
        <v>0</v>
      </c>
      <c r="BB186" s="16">
        <f t="shared" si="567"/>
        <v>0</v>
      </c>
      <c r="BC186" s="16">
        <f t="shared" si="567"/>
        <v>0</v>
      </c>
      <c r="BD186" s="16">
        <f t="shared" si="567"/>
        <v>0</v>
      </c>
      <c r="BE186" s="16">
        <f t="shared" si="567"/>
        <v>0</v>
      </c>
      <c r="BF186" s="16">
        <f>SUM(BF181:BF185)</f>
        <v>0</v>
      </c>
    </row>
    <row r="187" spans="1:58" ht="14.1" customHeight="1">
      <c r="A187" s="412">
        <f t="shared" si="501"/>
        <v>181</v>
      </c>
      <c r="B187" s="25"/>
      <c r="C187" s="2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</row>
    <row r="188" spans="1:58" ht="14.1" customHeight="1">
      <c r="A188" s="412">
        <f t="shared" si="501"/>
        <v>182</v>
      </c>
      <c r="B188" s="52" t="s">
        <v>331</v>
      </c>
      <c r="C188" s="212">
        <f>SUM(D188:BF188)</f>
        <v>0</v>
      </c>
      <c r="D188" s="156">
        <v>0</v>
      </c>
      <c r="E188" s="156">
        <v>0</v>
      </c>
      <c r="F188" s="156">
        <v>0</v>
      </c>
      <c r="G188" s="156">
        <v>0</v>
      </c>
      <c r="H188" s="156">
        <v>0</v>
      </c>
      <c r="I188" s="156">
        <v>0</v>
      </c>
      <c r="J188" s="156">
        <v>0</v>
      </c>
      <c r="K188" s="156">
        <v>0</v>
      </c>
      <c r="L188" s="156">
        <v>0</v>
      </c>
      <c r="M188" s="156">
        <v>0</v>
      </c>
      <c r="N188" s="156">
        <v>0</v>
      </c>
      <c r="O188" s="156">
        <v>0</v>
      </c>
      <c r="P188" s="156">
        <v>0</v>
      </c>
      <c r="Q188" s="156">
        <v>0</v>
      </c>
      <c r="R188" s="156">
        <v>0</v>
      </c>
      <c r="S188" s="156">
        <v>0</v>
      </c>
      <c r="T188" s="156">
        <v>0</v>
      </c>
      <c r="U188" s="156">
        <v>0</v>
      </c>
      <c r="V188" s="156">
        <v>0</v>
      </c>
      <c r="W188" s="156">
        <v>0</v>
      </c>
      <c r="X188" s="156">
        <v>0</v>
      </c>
      <c r="Y188" s="156">
        <v>0</v>
      </c>
      <c r="Z188" s="156">
        <v>0</v>
      </c>
      <c r="AA188" s="156">
        <v>0</v>
      </c>
      <c r="AB188" s="156">
        <v>0</v>
      </c>
      <c r="AC188" s="156">
        <v>0</v>
      </c>
      <c r="AD188" s="156">
        <v>0</v>
      </c>
      <c r="AE188" s="156">
        <v>0</v>
      </c>
      <c r="AF188" s="156">
        <v>0</v>
      </c>
      <c r="AG188" s="156">
        <v>0</v>
      </c>
      <c r="AH188" s="156">
        <v>0</v>
      </c>
      <c r="AI188" s="156">
        <v>0</v>
      </c>
      <c r="AJ188" s="156">
        <v>0</v>
      </c>
      <c r="AK188" s="156">
        <v>0</v>
      </c>
      <c r="AL188" s="156">
        <v>0</v>
      </c>
      <c r="AM188" s="156">
        <v>0</v>
      </c>
      <c r="AN188" s="156">
        <v>0</v>
      </c>
      <c r="AO188" s="156">
        <v>0</v>
      </c>
      <c r="AP188" s="156">
        <v>0</v>
      </c>
      <c r="AQ188" s="156">
        <v>0</v>
      </c>
      <c r="AR188" s="156">
        <v>0</v>
      </c>
      <c r="AS188" s="156">
        <v>0</v>
      </c>
      <c r="AT188" s="156">
        <v>0</v>
      </c>
      <c r="AU188" s="156">
        <v>0</v>
      </c>
      <c r="AV188" s="156">
        <v>0</v>
      </c>
      <c r="AW188" s="156">
        <v>0</v>
      </c>
      <c r="AX188" s="156">
        <v>0</v>
      </c>
      <c r="AY188" s="156">
        <v>0</v>
      </c>
      <c r="AZ188" s="156">
        <v>0</v>
      </c>
      <c r="BA188" s="156">
        <v>0</v>
      </c>
      <c r="BB188" s="156">
        <v>0</v>
      </c>
      <c r="BC188" s="156">
        <v>0</v>
      </c>
      <c r="BD188" s="156">
        <v>0</v>
      </c>
      <c r="BE188" s="156">
        <v>0</v>
      </c>
      <c r="BF188" s="156">
        <v>0</v>
      </c>
    </row>
    <row r="189" spans="1:58" ht="14.1" customHeight="1">
      <c r="A189" s="412">
        <f t="shared" si="501"/>
        <v>183</v>
      </c>
      <c r="B189" s="91" t="s">
        <v>495</v>
      </c>
      <c r="C189" s="16">
        <f>SUM(C188:C188)</f>
        <v>0</v>
      </c>
      <c r="D189" s="16">
        <f>SUM(D188:D188)</f>
        <v>0</v>
      </c>
      <c r="E189" s="16">
        <f>SUM(E188:E188)</f>
        <v>0</v>
      </c>
      <c r="F189" s="16">
        <f t="shared" ref="F189" si="568">SUM(F188:F188)</f>
        <v>0</v>
      </c>
      <c r="G189" s="16">
        <f t="shared" ref="G189" si="569">SUM(G188:G188)</f>
        <v>0</v>
      </c>
      <c r="H189" s="16">
        <f t="shared" ref="H189:AZ189" si="570">SUM(H188:H188)</f>
        <v>0</v>
      </c>
      <c r="I189" s="16">
        <f>SUM(I188:I188)</f>
        <v>0</v>
      </c>
      <c r="J189" s="16">
        <f>SUM(J188:J188)</f>
        <v>0</v>
      </c>
      <c r="K189" s="16">
        <f>SUM(K188:K188)</f>
        <v>0</v>
      </c>
      <c r="L189" s="16">
        <f t="shared" ref="L189" si="571">SUM(L188:L188)</f>
        <v>0</v>
      </c>
      <c r="M189" s="16">
        <f t="shared" ref="M189:AB189" si="572">SUM(M188:M188)</f>
        <v>0</v>
      </c>
      <c r="N189" s="16">
        <f t="shared" si="572"/>
        <v>0</v>
      </c>
      <c r="O189" s="16">
        <f t="shared" si="572"/>
        <v>0</v>
      </c>
      <c r="P189" s="16">
        <f t="shared" si="572"/>
        <v>0</v>
      </c>
      <c r="Q189" s="16">
        <f t="shared" si="572"/>
        <v>0</v>
      </c>
      <c r="R189" s="16">
        <f t="shared" si="572"/>
        <v>0</v>
      </c>
      <c r="S189" s="16">
        <f t="shared" si="572"/>
        <v>0</v>
      </c>
      <c r="T189" s="16">
        <f t="shared" si="572"/>
        <v>0</v>
      </c>
      <c r="U189" s="16">
        <f t="shared" si="572"/>
        <v>0</v>
      </c>
      <c r="V189" s="16">
        <f t="shared" si="572"/>
        <v>0</v>
      </c>
      <c r="W189" s="16">
        <f t="shared" si="572"/>
        <v>0</v>
      </c>
      <c r="X189" s="16">
        <f t="shared" si="572"/>
        <v>0</v>
      </c>
      <c r="Y189" s="16">
        <f t="shared" si="572"/>
        <v>0</v>
      </c>
      <c r="Z189" s="16">
        <f t="shared" si="572"/>
        <v>0</v>
      </c>
      <c r="AA189" s="16">
        <f t="shared" si="572"/>
        <v>0</v>
      </c>
      <c r="AB189" s="16">
        <f t="shared" si="572"/>
        <v>0</v>
      </c>
      <c r="AC189" s="16">
        <f t="shared" ref="AC189" si="573">SUM(AC188:AC188)</f>
        <v>0</v>
      </c>
      <c r="AD189" s="16">
        <f>SUM(AD188:AD188)</f>
        <v>0</v>
      </c>
      <c r="AE189" s="16">
        <f>SUM(AE188:AE188)</f>
        <v>0</v>
      </c>
      <c r="AF189" s="16">
        <f t="shared" ref="AF189" si="574">SUM(AF188:AF188)</f>
        <v>0</v>
      </c>
      <c r="AG189" s="16">
        <f t="shared" ref="AG189" si="575">SUM(AG188:AG188)</f>
        <v>0</v>
      </c>
      <c r="AH189" s="16">
        <f>SUM(AH188:AH188)</f>
        <v>0</v>
      </c>
      <c r="AI189" s="16">
        <f>SUM(AI188:AI188)</f>
        <v>0</v>
      </c>
      <c r="AJ189" s="16">
        <f t="shared" ref="AJ189" si="576">SUM(AJ188:AJ188)</f>
        <v>0</v>
      </c>
      <c r="AK189" s="16">
        <f t="shared" ref="AK189:AU189" si="577">SUM(AK188:AK188)</f>
        <v>0</v>
      </c>
      <c r="AL189" s="16">
        <f t="shared" si="577"/>
        <v>0</v>
      </c>
      <c r="AM189" s="16">
        <f t="shared" si="577"/>
        <v>0</v>
      </c>
      <c r="AN189" s="16">
        <f t="shared" si="577"/>
        <v>0</v>
      </c>
      <c r="AO189" s="16">
        <f t="shared" si="577"/>
        <v>0</v>
      </c>
      <c r="AP189" s="16">
        <f t="shared" si="577"/>
        <v>0</v>
      </c>
      <c r="AQ189" s="16">
        <f t="shared" si="577"/>
        <v>0</v>
      </c>
      <c r="AR189" s="16">
        <f t="shared" si="577"/>
        <v>0</v>
      </c>
      <c r="AS189" s="16">
        <f t="shared" si="577"/>
        <v>0</v>
      </c>
      <c r="AT189" s="16">
        <f t="shared" si="577"/>
        <v>0</v>
      </c>
      <c r="AU189" s="16">
        <f t="shared" si="577"/>
        <v>0</v>
      </c>
      <c r="AV189" s="16">
        <f>SUM(AV188:AV188)</f>
        <v>0</v>
      </c>
      <c r="AW189" s="16">
        <f>SUM(AW188:AW188)</f>
        <v>0</v>
      </c>
      <c r="AX189" s="16">
        <f t="shared" si="570"/>
        <v>0</v>
      </c>
      <c r="AY189" s="16">
        <f t="shared" si="570"/>
        <v>0</v>
      </c>
      <c r="AZ189" s="16">
        <f t="shared" si="570"/>
        <v>0</v>
      </c>
      <c r="BA189" s="16">
        <f t="shared" ref="BA189:BE189" si="578">SUM(BA188:BA188)</f>
        <v>0</v>
      </c>
      <c r="BB189" s="16">
        <f t="shared" si="578"/>
        <v>0</v>
      </c>
      <c r="BC189" s="16">
        <f t="shared" si="578"/>
        <v>0</v>
      </c>
      <c r="BD189" s="16">
        <f t="shared" si="578"/>
        <v>0</v>
      </c>
      <c r="BE189" s="16">
        <f t="shared" si="578"/>
        <v>0</v>
      </c>
      <c r="BF189" s="16">
        <f>SUM(BF188:BF188)</f>
        <v>0</v>
      </c>
    </row>
    <row r="190" spans="1:58" ht="14.1" customHeight="1">
      <c r="A190" s="412">
        <f t="shared" si="501"/>
        <v>184</v>
      </c>
      <c r="B190" s="52"/>
      <c r="C190" s="156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6"/>
      <c r="X190" s="156"/>
      <c r="Y190" s="156"/>
      <c r="Z190" s="156"/>
      <c r="AA190" s="156"/>
      <c r="AB190" s="156"/>
      <c r="AC190" s="156"/>
      <c r="AD190" s="156"/>
      <c r="AE190" s="156"/>
      <c r="AF190" s="156"/>
      <c r="AG190" s="156"/>
      <c r="AH190" s="156"/>
      <c r="AI190" s="156"/>
      <c r="AJ190" s="156"/>
      <c r="AK190" s="156"/>
      <c r="AL190" s="156"/>
      <c r="AM190" s="156"/>
      <c r="AN190" s="156"/>
      <c r="AO190" s="156"/>
      <c r="AP190" s="156"/>
      <c r="AQ190" s="156"/>
      <c r="AR190" s="156"/>
      <c r="AS190" s="156"/>
      <c r="AT190" s="156"/>
      <c r="AU190" s="156"/>
      <c r="AV190" s="156"/>
      <c r="AW190" s="156"/>
      <c r="AX190" s="156"/>
      <c r="AY190" s="156"/>
      <c r="AZ190" s="156"/>
      <c r="BA190" s="156"/>
      <c r="BB190" s="156"/>
      <c r="BC190" s="156"/>
      <c r="BD190" s="156"/>
      <c r="BE190" s="156"/>
      <c r="BF190" s="156"/>
    </row>
    <row r="191" spans="1:58" ht="14.1" customHeight="1">
      <c r="A191" s="412">
        <f t="shared" si="501"/>
        <v>185</v>
      </c>
      <c r="B191" s="91" t="s">
        <v>525</v>
      </c>
      <c r="C191" s="16">
        <f>C186+C178+C189</f>
        <v>-93260268</v>
      </c>
      <c r="D191" s="16">
        <f>D186+D178+D189</f>
        <v>0</v>
      </c>
      <c r="E191" s="16">
        <f>E186+E178+E189</f>
        <v>0</v>
      </c>
      <c r="F191" s="16">
        <f t="shared" ref="F191" si="579">F186+F178+F189</f>
        <v>0</v>
      </c>
      <c r="G191" s="16">
        <f t="shared" ref="G191" si="580">G186+G178+G189</f>
        <v>-93260268</v>
      </c>
      <c r="H191" s="16">
        <f t="shared" ref="H191:BE191" si="581">H186+H178+H189</f>
        <v>0</v>
      </c>
      <c r="I191" s="16">
        <f>I186+I178+I189</f>
        <v>0</v>
      </c>
      <c r="J191" s="16">
        <f>J186+J178+J189</f>
        <v>0</v>
      </c>
      <c r="K191" s="16">
        <f>K186+K178+K189</f>
        <v>0</v>
      </c>
      <c r="L191" s="16">
        <f t="shared" ref="L191" si="582">L186+L178+L189</f>
        <v>0</v>
      </c>
      <c r="M191" s="16">
        <f t="shared" ref="M191:AB191" si="583">M186+M178+M189</f>
        <v>0</v>
      </c>
      <c r="N191" s="16">
        <f t="shared" si="583"/>
        <v>0</v>
      </c>
      <c r="O191" s="16">
        <f t="shared" si="583"/>
        <v>0</v>
      </c>
      <c r="P191" s="16">
        <f t="shared" si="583"/>
        <v>0</v>
      </c>
      <c r="Q191" s="16">
        <f t="shared" si="583"/>
        <v>0</v>
      </c>
      <c r="R191" s="16">
        <f t="shared" si="583"/>
        <v>0</v>
      </c>
      <c r="S191" s="16">
        <f t="shared" si="583"/>
        <v>0</v>
      </c>
      <c r="T191" s="16">
        <f t="shared" si="583"/>
        <v>0</v>
      </c>
      <c r="U191" s="16">
        <f t="shared" si="583"/>
        <v>0</v>
      </c>
      <c r="V191" s="16">
        <f t="shared" si="583"/>
        <v>0</v>
      </c>
      <c r="W191" s="16">
        <f t="shared" si="583"/>
        <v>0</v>
      </c>
      <c r="X191" s="16">
        <f t="shared" si="583"/>
        <v>0</v>
      </c>
      <c r="Y191" s="16">
        <f t="shared" si="583"/>
        <v>0</v>
      </c>
      <c r="Z191" s="16">
        <f t="shared" si="583"/>
        <v>0</v>
      </c>
      <c r="AA191" s="16">
        <f t="shared" si="583"/>
        <v>0</v>
      </c>
      <c r="AB191" s="16">
        <f t="shared" si="583"/>
        <v>0</v>
      </c>
      <c r="AC191" s="16">
        <f t="shared" ref="AC191" si="584">AC186+AC178+AC189</f>
        <v>0</v>
      </c>
      <c r="AD191" s="16">
        <f>AD186+AD178+AD189</f>
        <v>0</v>
      </c>
      <c r="AE191" s="16">
        <f>AE186+AE178+AE189</f>
        <v>0</v>
      </c>
      <c r="AF191" s="16">
        <f t="shared" ref="AF191" si="585">AF186+AF178+AF189</f>
        <v>0</v>
      </c>
      <c r="AG191" s="16">
        <f t="shared" ref="AG191" si="586">AG186+AG178+AG189</f>
        <v>0</v>
      </c>
      <c r="AH191" s="16">
        <f>AH186+AH178+AH189</f>
        <v>0</v>
      </c>
      <c r="AI191" s="16">
        <f>AI186+AI178+AI189</f>
        <v>0</v>
      </c>
      <c r="AJ191" s="16">
        <f t="shared" ref="AJ191" si="587">AJ186+AJ178+AJ189</f>
        <v>0</v>
      </c>
      <c r="AK191" s="16">
        <f t="shared" ref="AK191:AU191" si="588">AK186+AK178+AK189</f>
        <v>0</v>
      </c>
      <c r="AL191" s="16">
        <f t="shared" si="588"/>
        <v>0</v>
      </c>
      <c r="AM191" s="16">
        <f t="shared" si="588"/>
        <v>0</v>
      </c>
      <c r="AN191" s="16">
        <f t="shared" si="588"/>
        <v>0</v>
      </c>
      <c r="AO191" s="16">
        <f t="shared" si="588"/>
        <v>0</v>
      </c>
      <c r="AP191" s="16">
        <f t="shared" si="588"/>
        <v>0</v>
      </c>
      <c r="AQ191" s="16">
        <f t="shared" si="588"/>
        <v>0</v>
      </c>
      <c r="AR191" s="16">
        <f t="shared" si="588"/>
        <v>0</v>
      </c>
      <c r="AS191" s="16">
        <f t="shared" si="588"/>
        <v>0</v>
      </c>
      <c r="AT191" s="16">
        <f t="shared" si="588"/>
        <v>0</v>
      </c>
      <c r="AU191" s="16">
        <f t="shared" si="588"/>
        <v>0</v>
      </c>
      <c r="AV191" s="16">
        <f>AV186+AV178+AV189</f>
        <v>0</v>
      </c>
      <c r="AW191" s="16">
        <f>AW186+AW178+AW189</f>
        <v>0</v>
      </c>
      <c r="AX191" s="16">
        <f t="shared" si="581"/>
        <v>0</v>
      </c>
      <c r="AY191" s="16">
        <f t="shared" si="581"/>
        <v>0</v>
      </c>
      <c r="AZ191" s="16">
        <f t="shared" si="581"/>
        <v>0</v>
      </c>
      <c r="BA191" s="16">
        <f t="shared" si="581"/>
        <v>0</v>
      </c>
      <c r="BB191" s="16">
        <f t="shared" si="581"/>
        <v>0</v>
      </c>
      <c r="BC191" s="16">
        <f t="shared" si="581"/>
        <v>0</v>
      </c>
      <c r="BD191" s="16">
        <f t="shared" si="581"/>
        <v>0</v>
      </c>
      <c r="BE191" s="16">
        <f t="shared" si="581"/>
        <v>0</v>
      </c>
      <c r="BF191" s="16">
        <f>BF186+BF178+BF189</f>
        <v>0</v>
      </c>
    </row>
    <row r="192" spans="1:58" ht="14.1" customHeight="1">
      <c r="A192" s="412">
        <f t="shared" si="501"/>
        <v>186</v>
      </c>
      <c r="B192" s="52"/>
      <c r="C192" s="156"/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56"/>
      <c r="R192" s="156"/>
      <c r="S192" s="156"/>
      <c r="T192" s="156"/>
      <c r="U192" s="156"/>
      <c r="V192" s="156"/>
      <c r="W192" s="156"/>
      <c r="X192" s="156"/>
      <c r="Y192" s="156"/>
      <c r="Z192" s="156"/>
      <c r="AA192" s="156"/>
      <c r="AB192" s="156"/>
      <c r="AC192" s="156"/>
      <c r="AD192" s="156"/>
      <c r="AE192" s="156"/>
      <c r="AF192" s="156"/>
      <c r="AG192" s="156"/>
      <c r="AH192" s="156"/>
      <c r="AI192" s="156"/>
      <c r="AJ192" s="156"/>
      <c r="AK192" s="156"/>
      <c r="AL192" s="156"/>
      <c r="AM192" s="156"/>
      <c r="AN192" s="156"/>
      <c r="AO192" s="156"/>
      <c r="AP192" s="156"/>
      <c r="AQ192" s="156"/>
      <c r="AR192" s="156"/>
      <c r="AS192" s="156"/>
      <c r="AT192" s="156"/>
      <c r="AU192" s="156"/>
      <c r="AV192" s="156"/>
      <c r="AW192" s="156"/>
      <c r="AX192" s="156"/>
      <c r="AY192" s="156"/>
      <c r="AZ192" s="156"/>
      <c r="BA192" s="156"/>
      <c r="BB192" s="156"/>
      <c r="BC192" s="156"/>
      <c r="BD192" s="156"/>
      <c r="BE192" s="156"/>
      <c r="BF192" s="156"/>
    </row>
    <row r="193" spans="1:58" ht="14.1" customHeight="1" thickBot="1">
      <c r="A193" s="412">
        <f t="shared" si="501"/>
        <v>187</v>
      </c>
      <c r="B193" s="54" t="s">
        <v>141</v>
      </c>
      <c r="C193" s="213">
        <f>+C171-C191</f>
        <v>-229893821</v>
      </c>
      <c r="D193" s="213">
        <f>+D171-D191</f>
        <v>0</v>
      </c>
      <c r="E193" s="213">
        <f>+E171-E191</f>
        <v>0</v>
      </c>
      <c r="F193" s="93">
        <f t="shared" ref="F193" si="589">+F171-F191</f>
        <v>0</v>
      </c>
      <c r="G193" s="213">
        <f t="shared" ref="G193" si="590">+G171-G191</f>
        <v>-229893821</v>
      </c>
      <c r="H193" s="93">
        <f t="shared" ref="H193:BE193" si="591">+H171-H191</f>
        <v>0</v>
      </c>
      <c r="I193" s="213">
        <f>+I171-I191</f>
        <v>0</v>
      </c>
      <c r="J193" s="213">
        <f>+J171-J191</f>
        <v>0</v>
      </c>
      <c r="K193" s="93">
        <f>+K171-K191</f>
        <v>0</v>
      </c>
      <c r="L193" s="93">
        <f t="shared" ref="L193" si="592">+L171-L191</f>
        <v>0</v>
      </c>
      <c r="M193" s="213">
        <f t="shared" ref="M193:AB193" si="593">+M171-M191</f>
        <v>0</v>
      </c>
      <c r="N193" s="213">
        <f t="shared" si="593"/>
        <v>0</v>
      </c>
      <c r="O193" s="213">
        <f t="shared" si="593"/>
        <v>0</v>
      </c>
      <c r="P193" s="93">
        <f t="shared" si="593"/>
        <v>0</v>
      </c>
      <c r="Q193" s="93">
        <f t="shared" si="593"/>
        <v>0</v>
      </c>
      <c r="R193" s="93">
        <f t="shared" si="593"/>
        <v>0</v>
      </c>
      <c r="S193" s="213">
        <f t="shared" si="593"/>
        <v>0</v>
      </c>
      <c r="T193" s="213">
        <f t="shared" si="593"/>
        <v>0</v>
      </c>
      <c r="U193" s="213">
        <f t="shared" si="593"/>
        <v>0</v>
      </c>
      <c r="V193" s="213">
        <f t="shared" si="593"/>
        <v>0</v>
      </c>
      <c r="W193" s="213">
        <f t="shared" si="593"/>
        <v>0</v>
      </c>
      <c r="X193" s="213">
        <f t="shared" si="593"/>
        <v>0</v>
      </c>
      <c r="Y193" s="213">
        <f t="shared" si="593"/>
        <v>0</v>
      </c>
      <c r="Z193" s="213">
        <f t="shared" si="593"/>
        <v>0</v>
      </c>
      <c r="AA193" s="213">
        <f t="shared" si="593"/>
        <v>0</v>
      </c>
      <c r="AB193" s="213">
        <f t="shared" si="593"/>
        <v>0</v>
      </c>
      <c r="AC193" s="93">
        <f t="shared" ref="AC193" si="594">+AC171-AC191</f>
        <v>0</v>
      </c>
      <c r="AD193" s="93">
        <f>+AD171-AD191</f>
        <v>0</v>
      </c>
      <c r="AE193" s="93">
        <f>+AE171-AE191</f>
        <v>0</v>
      </c>
      <c r="AF193" s="93">
        <f t="shared" ref="AF193" si="595">+AF171-AF191</f>
        <v>0</v>
      </c>
      <c r="AG193" s="213">
        <f t="shared" ref="AG193" si="596">+AG171-AG191</f>
        <v>0</v>
      </c>
      <c r="AH193" s="213">
        <f>+AH171-AH191</f>
        <v>0</v>
      </c>
      <c r="AI193" s="93">
        <f>+AI171-AI191</f>
        <v>0</v>
      </c>
      <c r="AJ193" s="213">
        <f t="shared" ref="AJ193" si="597">+AJ171-AJ191</f>
        <v>0</v>
      </c>
      <c r="AK193" s="213">
        <f t="shared" ref="AK193:AU193" si="598">+AK171-AK191</f>
        <v>0</v>
      </c>
      <c r="AL193" s="213">
        <f t="shared" si="598"/>
        <v>0</v>
      </c>
      <c r="AM193" s="213">
        <f t="shared" si="598"/>
        <v>0</v>
      </c>
      <c r="AN193" s="93">
        <f t="shared" si="598"/>
        <v>0</v>
      </c>
      <c r="AO193" s="93">
        <f t="shared" si="598"/>
        <v>0</v>
      </c>
      <c r="AP193" s="93">
        <f t="shared" si="598"/>
        <v>0</v>
      </c>
      <c r="AQ193" s="213">
        <f t="shared" si="598"/>
        <v>0</v>
      </c>
      <c r="AR193" s="93">
        <f t="shared" si="598"/>
        <v>0</v>
      </c>
      <c r="AS193" s="93">
        <f t="shared" si="598"/>
        <v>0</v>
      </c>
      <c r="AT193" s="213">
        <f t="shared" si="598"/>
        <v>0</v>
      </c>
      <c r="AU193" s="213">
        <f t="shared" si="598"/>
        <v>0</v>
      </c>
      <c r="AV193" s="213">
        <f>+AV171-AV191</f>
        <v>0</v>
      </c>
      <c r="AW193" s="213">
        <f>+AW171-AW191</f>
        <v>0</v>
      </c>
      <c r="AX193" s="93">
        <f t="shared" si="591"/>
        <v>0</v>
      </c>
      <c r="AY193" s="213">
        <f t="shared" si="591"/>
        <v>0</v>
      </c>
      <c r="AZ193" s="213">
        <f t="shared" si="591"/>
        <v>0</v>
      </c>
      <c r="BA193" s="213">
        <f t="shared" si="591"/>
        <v>0</v>
      </c>
      <c r="BB193" s="93">
        <f t="shared" si="591"/>
        <v>0</v>
      </c>
      <c r="BC193" s="213">
        <f t="shared" si="591"/>
        <v>0</v>
      </c>
      <c r="BD193" s="213">
        <f t="shared" si="591"/>
        <v>0</v>
      </c>
      <c r="BE193" s="213">
        <f t="shared" si="591"/>
        <v>0</v>
      </c>
      <c r="BF193" s="213">
        <f>+BF171-BF191</f>
        <v>0</v>
      </c>
    </row>
    <row r="194" spans="1:58" ht="14.1" customHeight="1" thickTop="1">
      <c r="A194" s="412">
        <f t="shared" si="501"/>
        <v>188</v>
      </c>
      <c r="B194" s="25"/>
      <c r="C194" s="25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</row>
    <row r="195" spans="1:58" ht="14.1" customHeight="1">
      <c r="A195" s="412">
        <f t="shared" si="501"/>
        <v>189</v>
      </c>
      <c r="B195" s="13" t="s">
        <v>142</v>
      </c>
      <c r="C195" s="13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</row>
    <row r="196" spans="1:58" ht="14.1" customHeight="1">
      <c r="A196" s="412">
        <f t="shared" si="501"/>
        <v>190</v>
      </c>
      <c r="B196" s="22" t="s">
        <v>143</v>
      </c>
      <c r="C196" s="38">
        <f>SUM(D196:BF196)</f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  <c r="AF196" s="10">
        <v>0</v>
      </c>
      <c r="AG196" s="10">
        <v>0</v>
      </c>
      <c r="AH196" s="10">
        <v>0</v>
      </c>
      <c r="AI196" s="10">
        <v>0</v>
      </c>
      <c r="AJ196" s="10">
        <v>0</v>
      </c>
      <c r="AK196" s="10">
        <v>0</v>
      </c>
      <c r="AL196" s="10">
        <v>0</v>
      </c>
      <c r="AM196" s="10">
        <v>0</v>
      </c>
      <c r="AN196" s="10">
        <v>0</v>
      </c>
      <c r="AO196" s="10">
        <v>0</v>
      </c>
      <c r="AP196" s="10">
        <v>0</v>
      </c>
      <c r="AQ196" s="10">
        <v>0</v>
      </c>
      <c r="AR196" s="10">
        <v>0</v>
      </c>
      <c r="AS196" s="10">
        <v>0</v>
      </c>
      <c r="AT196" s="10">
        <v>0</v>
      </c>
      <c r="AU196" s="10">
        <v>0</v>
      </c>
      <c r="AV196" s="10">
        <v>0</v>
      </c>
      <c r="AW196" s="10">
        <v>0</v>
      </c>
      <c r="AX196" s="10">
        <v>0</v>
      </c>
      <c r="AY196" s="10">
        <v>0</v>
      </c>
      <c r="AZ196" s="10">
        <v>0</v>
      </c>
      <c r="BA196" s="10">
        <v>0</v>
      </c>
      <c r="BB196" s="10">
        <v>0</v>
      </c>
      <c r="BC196" s="10">
        <v>0</v>
      </c>
      <c r="BD196" s="10">
        <v>0</v>
      </c>
      <c r="BE196" s="10">
        <v>0</v>
      </c>
      <c r="BF196" s="10">
        <v>0</v>
      </c>
    </row>
    <row r="197" spans="1:58" ht="14.1" customHeight="1">
      <c r="A197" s="412">
        <f t="shared" si="501"/>
        <v>191</v>
      </c>
      <c r="B197" s="56" t="s">
        <v>55</v>
      </c>
      <c r="C197" s="38">
        <f>SUM(D197:BF197)</f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v>0</v>
      </c>
      <c r="AV197" s="10">
        <v>0</v>
      </c>
      <c r="AW197" s="10">
        <v>0</v>
      </c>
      <c r="AX197" s="10">
        <v>0</v>
      </c>
      <c r="AY197" s="10">
        <v>0</v>
      </c>
      <c r="AZ197" s="10">
        <v>0</v>
      </c>
      <c r="BA197" s="10">
        <v>0</v>
      </c>
      <c r="BB197" s="10">
        <v>0</v>
      </c>
      <c r="BC197" s="10">
        <v>0</v>
      </c>
      <c r="BD197" s="10">
        <v>0</v>
      </c>
      <c r="BE197" s="10">
        <v>0</v>
      </c>
      <c r="BF197" s="10">
        <v>0</v>
      </c>
    </row>
    <row r="198" spans="1:58" ht="14.1" customHeight="1">
      <c r="A198" s="412">
        <f t="shared" si="501"/>
        <v>192</v>
      </c>
      <c r="B198" s="13" t="s">
        <v>493</v>
      </c>
      <c r="C198" s="47">
        <f>SUM(C196:C197)</f>
        <v>0</v>
      </c>
      <c r="D198" s="47">
        <f>SUM(D196:D197)</f>
        <v>0</v>
      </c>
      <c r="E198" s="47">
        <f>SUM(E196:E197)</f>
        <v>0</v>
      </c>
      <c r="F198" s="47">
        <f t="shared" ref="F198" si="599">SUM(F196:F197)</f>
        <v>0</v>
      </c>
      <c r="G198" s="47">
        <f t="shared" ref="G198" si="600">SUM(G196:G197)</f>
        <v>0</v>
      </c>
      <c r="H198" s="47">
        <f t="shared" ref="H198:BE198" si="601">SUM(H196:H197)</f>
        <v>0</v>
      </c>
      <c r="I198" s="47">
        <f>SUM(I196:I197)</f>
        <v>0</v>
      </c>
      <c r="J198" s="47">
        <f>SUM(J196:J197)</f>
        <v>0</v>
      </c>
      <c r="K198" s="47">
        <f>SUM(K196:K197)</f>
        <v>0</v>
      </c>
      <c r="L198" s="47">
        <f t="shared" ref="L198" si="602">SUM(L196:L197)</f>
        <v>0</v>
      </c>
      <c r="M198" s="47">
        <f t="shared" ref="M198:AB198" si="603">SUM(M196:M197)</f>
        <v>0</v>
      </c>
      <c r="N198" s="47">
        <f t="shared" si="603"/>
        <v>0</v>
      </c>
      <c r="O198" s="47">
        <f t="shared" si="603"/>
        <v>0</v>
      </c>
      <c r="P198" s="47">
        <f t="shared" si="603"/>
        <v>0</v>
      </c>
      <c r="Q198" s="47">
        <f t="shared" si="603"/>
        <v>0</v>
      </c>
      <c r="R198" s="47">
        <f t="shared" si="603"/>
        <v>0</v>
      </c>
      <c r="S198" s="47">
        <f t="shared" si="603"/>
        <v>0</v>
      </c>
      <c r="T198" s="47">
        <f t="shared" si="603"/>
        <v>0</v>
      </c>
      <c r="U198" s="47">
        <f t="shared" si="603"/>
        <v>0</v>
      </c>
      <c r="V198" s="47">
        <f t="shared" si="603"/>
        <v>0</v>
      </c>
      <c r="W198" s="47">
        <f t="shared" si="603"/>
        <v>0</v>
      </c>
      <c r="X198" s="47">
        <f t="shared" si="603"/>
        <v>0</v>
      </c>
      <c r="Y198" s="47">
        <f t="shared" si="603"/>
        <v>0</v>
      </c>
      <c r="Z198" s="47">
        <f t="shared" si="603"/>
        <v>0</v>
      </c>
      <c r="AA198" s="47">
        <f t="shared" si="603"/>
        <v>0</v>
      </c>
      <c r="AB198" s="47">
        <f t="shared" si="603"/>
        <v>0</v>
      </c>
      <c r="AC198" s="47">
        <f t="shared" ref="AC198" si="604">SUM(AC196:AC197)</f>
        <v>0</v>
      </c>
      <c r="AD198" s="47">
        <f>SUM(AD196:AD197)</f>
        <v>0</v>
      </c>
      <c r="AE198" s="47">
        <f>SUM(AE196:AE197)</f>
        <v>0</v>
      </c>
      <c r="AF198" s="47">
        <f t="shared" ref="AF198" si="605">SUM(AF196:AF197)</f>
        <v>0</v>
      </c>
      <c r="AG198" s="47">
        <f t="shared" ref="AG198" si="606">SUM(AG196:AG197)</f>
        <v>0</v>
      </c>
      <c r="AH198" s="47">
        <f>SUM(AH196:AH197)</f>
        <v>0</v>
      </c>
      <c r="AI198" s="47">
        <f>SUM(AI196:AI197)</f>
        <v>0</v>
      </c>
      <c r="AJ198" s="47">
        <f t="shared" ref="AJ198" si="607">SUM(AJ196:AJ197)</f>
        <v>0</v>
      </c>
      <c r="AK198" s="47">
        <f t="shared" ref="AK198:AU198" si="608">SUM(AK196:AK197)</f>
        <v>0</v>
      </c>
      <c r="AL198" s="47">
        <f t="shared" si="608"/>
        <v>0</v>
      </c>
      <c r="AM198" s="47">
        <f t="shared" si="608"/>
        <v>0</v>
      </c>
      <c r="AN198" s="47">
        <f t="shared" si="608"/>
        <v>0</v>
      </c>
      <c r="AO198" s="47">
        <f t="shared" si="608"/>
        <v>0</v>
      </c>
      <c r="AP198" s="47">
        <f t="shared" si="608"/>
        <v>0</v>
      </c>
      <c r="AQ198" s="47">
        <f t="shared" si="608"/>
        <v>0</v>
      </c>
      <c r="AR198" s="47">
        <f t="shared" si="608"/>
        <v>0</v>
      </c>
      <c r="AS198" s="47">
        <f t="shared" si="608"/>
        <v>0</v>
      </c>
      <c r="AT198" s="47">
        <f t="shared" si="608"/>
        <v>0</v>
      </c>
      <c r="AU198" s="47">
        <f t="shared" si="608"/>
        <v>0</v>
      </c>
      <c r="AV198" s="47">
        <f>SUM(AV196:AV197)</f>
        <v>0</v>
      </c>
      <c r="AW198" s="47">
        <f>SUM(AW196:AW197)</f>
        <v>0</v>
      </c>
      <c r="AX198" s="47">
        <f t="shared" si="601"/>
        <v>0</v>
      </c>
      <c r="AY198" s="47">
        <f t="shared" si="601"/>
        <v>0</v>
      </c>
      <c r="AZ198" s="47">
        <f t="shared" si="601"/>
        <v>0</v>
      </c>
      <c r="BA198" s="47">
        <f t="shared" si="601"/>
        <v>0</v>
      </c>
      <c r="BB198" s="47">
        <f t="shared" si="601"/>
        <v>0</v>
      </c>
      <c r="BC198" s="47">
        <f t="shared" si="601"/>
        <v>0</v>
      </c>
      <c r="BD198" s="47">
        <f t="shared" si="601"/>
        <v>0</v>
      </c>
      <c r="BE198" s="47">
        <f t="shared" si="601"/>
        <v>0</v>
      </c>
      <c r="BF198" s="47">
        <f>SUM(BF196:BF197)</f>
        <v>0</v>
      </c>
    </row>
    <row r="199" spans="1:58" ht="14.1" customHeight="1">
      <c r="A199" s="412">
        <f t="shared" si="501"/>
        <v>193</v>
      </c>
      <c r="B199" s="22"/>
      <c r="C199" s="22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</row>
    <row r="200" spans="1:58" ht="14.1" customHeight="1">
      <c r="A200" s="412">
        <f t="shared" si="501"/>
        <v>194</v>
      </c>
      <c r="B200" s="22" t="s">
        <v>136</v>
      </c>
      <c r="C200" s="38">
        <f>SUM(D200:BF200)</f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  <c r="AF200" s="10">
        <v>0</v>
      </c>
      <c r="AG200" s="10">
        <v>0</v>
      </c>
      <c r="AH200" s="10">
        <v>0</v>
      </c>
      <c r="AI200" s="10">
        <v>0</v>
      </c>
      <c r="AJ200" s="10">
        <v>0</v>
      </c>
      <c r="AK200" s="10">
        <v>0</v>
      </c>
      <c r="AL200" s="10">
        <v>0</v>
      </c>
      <c r="AM200" s="10">
        <v>0</v>
      </c>
      <c r="AN200" s="10">
        <v>0</v>
      </c>
      <c r="AO200" s="10">
        <v>0</v>
      </c>
      <c r="AP200" s="10">
        <v>0</v>
      </c>
      <c r="AQ200" s="10">
        <v>0</v>
      </c>
      <c r="AR200" s="10">
        <v>0</v>
      </c>
      <c r="AS200" s="10">
        <v>0</v>
      </c>
      <c r="AT200" s="10">
        <v>0</v>
      </c>
      <c r="AU200" s="10">
        <v>0</v>
      </c>
      <c r="AV200" s="10">
        <v>0</v>
      </c>
      <c r="AW200" s="10">
        <v>0</v>
      </c>
      <c r="AX200" s="10">
        <v>0</v>
      </c>
      <c r="AY200" s="10">
        <v>0</v>
      </c>
      <c r="AZ200" s="10">
        <v>0</v>
      </c>
      <c r="BA200" s="10">
        <v>0</v>
      </c>
      <c r="BB200" s="10">
        <v>0</v>
      </c>
      <c r="BC200" s="10">
        <v>0</v>
      </c>
      <c r="BD200" s="10">
        <v>0</v>
      </c>
      <c r="BE200" s="10">
        <v>0</v>
      </c>
      <c r="BF200" s="10">
        <v>0</v>
      </c>
    </row>
    <row r="201" spans="1:58" ht="14.1" customHeight="1">
      <c r="A201" s="412">
        <f t="shared" si="501"/>
        <v>195</v>
      </c>
      <c r="B201" s="56" t="s">
        <v>144</v>
      </c>
      <c r="C201" s="38">
        <f>SUM(D201:BF201)</f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v>0</v>
      </c>
      <c r="AV201" s="10">
        <v>0</v>
      </c>
      <c r="AW201" s="10">
        <v>0</v>
      </c>
      <c r="AX201" s="10">
        <v>0</v>
      </c>
      <c r="AY201" s="10">
        <v>0</v>
      </c>
      <c r="AZ201" s="10">
        <v>0</v>
      </c>
      <c r="BA201" s="10">
        <v>0</v>
      </c>
      <c r="BB201" s="10">
        <v>0</v>
      </c>
      <c r="BC201" s="10">
        <v>0</v>
      </c>
      <c r="BD201" s="10">
        <v>0</v>
      </c>
      <c r="BE201" s="10">
        <v>0</v>
      </c>
      <c r="BF201" s="10">
        <v>0</v>
      </c>
    </row>
    <row r="202" spans="1:58" ht="14.1" customHeight="1">
      <c r="A202" s="412">
        <f t="shared" si="501"/>
        <v>196</v>
      </c>
      <c r="B202" s="91" t="s">
        <v>494</v>
      </c>
      <c r="C202" s="47">
        <f>SUM(C200:C201)</f>
        <v>0</v>
      </c>
      <c r="D202" s="47">
        <f>SUM(D200:D201)</f>
        <v>0</v>
      </c>
      <c r="E202" s="47">
        <f>SUM(E200:E201)</f>
        <v>0</v>
      </c>
      <c r="F202" s="47">
        <f t="shared" ref="F202" si="609">SUM(F200:F201)</f>
        <v>0</v>
      </c>
      <c r="G202" s="47">
        <f t="shared" ref="G202" si="610">SUM(G200:G201)</f>
        <v>0</v>
      </c>
      <c r="H202" s="47">
        <f t="shared" ref="H202:BE202" si="611">SUM(H200:H201)</f>
        <v>0</v>
      </c>
      <c r="I202" s="47">
        <f>SUM(I200:I201)</f>
        <v>0</v>
      </c>
      <c r="J202" s="47">
        <f>SUM(J200:J201)</f>
        <v>0</v>
      </c>
      <c r="K202" s="47">
        <f>SUM(K200:K201)</f>
        <v>0</v>
      </c>
      <c r="L202" s="47">
        <f t="shared" ref="L202" si="612">SUM(L200:L201)</f>
        <v>0</v>
      </c>
      <c r="M202" s="47">
        <f t="shared" ref="M202:AB202" si="613">SUM(M200:M201)</f>
        <v>0</v>
      </c>
      <c r="N202" s="47">
        <f t="shared" si="613"/>
        <v>0</v>
      </c>
      <c r="O202" s="47">
        <f t="shared" si="613"/>
        <v>0</v>
      </c>
      <c r="P202" s="47">
        <f t="shared" si="613"/>
        <v>0</v>
      </c>
      <c r="Q202" s="47">
        <f t="shared" si="613"/>
        <v>0</v>
      </c>
      <c r="R202" s="47">
        <f t="shared" si="613"/>
        <v>0</v>
      </c>
      <c r="S202" s="47">
        <f t="shared" si="613"/>
        <v>0</v>
      </c>
      <c r="T202" s="47">
        <f t="shared" si="613"/>
        <v>0</v>
      </c>
      <c r="U202" s="47">
        <f t="shared" si="613"/>
        <v>0</v>
      </c>
      <c r="V202" s="47">
        <f t="shared" si="613"/>
        <v>0</v>
      </c>
      <c r="W202" s="47">
        <f t="shared" si="613"/>
        <v>0</v>
      </c>
      <c r="X202" s="47">
        <f t="shared" si="613"/>
        <v>0</v>
      </c>
      <c r="Y202" s="47">
        <f t="shared" si="613"/>
        <v>0</v>
      </c>
      <c r="Z202" s="47">
        <f t="shared" si="613"/>
        <v>0</v>
      </c>
      <c r="AA202" s="47">
        <f t="shared" si="613"/>
        <v>0</v>
      </c>
      <c r="AB202" s="47">
        <f t="shared" si="613"/>
        <v>0</v>
      </c>
      <c r="AC202" s="47">
        <f t="shared" ref="AC202" si="614">SUM(AC200:AC201)</f>
        <v>0</v>
      </c>
      <c r="AD202" s="47">
        <f>SUM(AD200:AD201)</f>
        <v>0</v>
      </c>
      <c r="AE202" s="47">
        <f>SUM(AE200:AE201)</f>
        <v>0</v>
      </c>
      <c r="AF202" s="47">
        <f t="shared" ref="AF202" si="615">SUM(AF200:AF201)</f>
        <v>0</v>
      </c>
      <c r="AG202" s="47">
        <f t="shared" ref="AG202" si="616">SUM(AG200:AG201)</f>
        <v>0</v>
      </c>
      <c r="AH202" s="47">
        <f>SUM(AH200:AH201)</f>
        <v>0</v>
      </c>
      <c r="AI202" s="47">
        <f>SUM(AI200:AI201)</f>
        <v>0</v>
      </c>
      <c r="AJ202" s="47">
        <f t="shared" ref="AJ202" si="617">SUM(AJ200:AJ201)</f>
        <v>0</v>
      </c>
      <c r="AK202" s="47">
        <f t="shared" ref="AK202:AU202" si="618">SUM(AK200:AK201)</f>
        <v>0</v>
      </c>
      <c r="AL202" s="47">
        <f t="shared" si="618"/>
        <v>0</v>
      </c>
      <c r="AM202" s="47">
        <f t="shared" si="618"/>
        <v>0</v>
      </c>
      <c r="AN202" s="47">
        <f t="shared" si="618"/>
        <v>0</v>
      </c>
      <c r="AO202" s="47">
        <f t="shared" si="618"/>
        <v>0</v>
      </c>
      <c r="AP202" s="47">
        <f t="shared" si="618"/>
        <v>0</v>
      </c>
      <c r="AQ202" s="47">
        <f t="shared" si="618"/>
        <v>0</v>
      </c>
      <c r="AR202" s="47">
        <f t="shared" si="618"/>
        <v>0</v>
      </c>
      <c r="AS202" s="47">
        <f t="shared" si="618"/>
        <v>0</v>
      </c>
      <c r="AT202" s="47">
        <f t="shared" si="618"/>
        <v>0</v>
      </c>
      <c r="AU202" s="47">
        <f t="shared" si="618"/>
        <v>0</v>
      </c>
      <c r="AV202" s="47">
        <f>SUM(AV200:AV201)</f>
        <v>0</v>
      </c>
      <c r="AW202" s="47">
        <f>SUM(AW200:AW201)</f>
        <v>0</v>
      </c>
      <c r="AX202" s="47">
        <f t="shared" si="611"/>
        <v>0</v>
      </c>
      <c r="AY202" s="47">
        <f t="shared" si="611"/>
        <v>0</v>
      </c>
      <c r="AZ202" s="47">
        <f t="shared" si="611"/>
        <v>0</v>
      </c>
      <c r="BA202" s="47">
        <f t="shared" si="611"/>
        <v>0</v>
      </c>
      <c r="BB202" s="47">
        <f t="shared" si="611"/>
        <v>0</v>
      </c>
      <c r="BC202" s="47">
        <f t="shared" si="611"/>
        <v>0</v>
      </c>
      <c r="BD202" s="47">
        <f t="shared" si="611"/>
        <v>0</v>
      </c>
      <c r="BE202" s="47">
        <f t="shared" si="611"/>
        <v>0</v>
      </c>
      <c r="BF202" s="47">
        <f>SUM(BF200:BF201)</f>
        <v>0</v>
      </c>
    </row>
    <row r="203" spans="1:58" ht="14.1" customHeight="1">
      <c r="A203" s="412">
        <f t="shared" si="501"/>
        <v>197</v>
      </c>
      <c r="B203" s="25"/>
      <c r="C203" s="25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</row>
    <row r="204" spans="1:58" ht="14.1" customHeight="1">
      <c r="A204" s="412">
        <f t="shared" si="501"/>
        <v>198</v>
      </c>
      <c r="B204" s="22" t="s">
        <v>145</v>
      </c>
      <c r="C204" s="38">
        <f>SUM(D204:BF204)</f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10">
        <v>0</v>
      </c>
      <c r="AG204" s="10">
        <v>0</v>
      </c>
      <c r="AH204" s="10">
        <v>0</v>
      </c>
      <c r="AI204" s="10">
        <v>0</v>
      </c>
      <c r="AJ204" s="10">
        <v>0</v>
      </c>
      <c r="AK204" s="10">
        <v>0</v>
      </c>
      <c r="AL204" s="10">
        <v>0</v>
      </c>
      <c r="AM204" s="10">
        <v>0</v>
      </c>
      <c r="AN204" s="10">
        <v>0</v>
      </c>
      <c r="AO204" s="10">
        <v>0</v>
      </c>
      <c r="AP204" s="10">
        <v>0</v>
      </c>
      <c r="AQ204" s="10">
        <v>0</v>
      </c>
      <c r="AR204" s="10">
        <v>0</v>
      </c>
      <c r="AS204" s="10">
        <v>0</v>
      </c>
      <c r="AT204" s="10">
        <v>0</v>
      </c>
      <c r="AU204" s="10">
        <v>0</v>
      </c>
      <c r="AV204" s="10">
        <v>0</v>
      </c>
      <c r="AW204" s="10">
        <v>0</v>
      </c>
      <c r="AX204" s="10">
        <v>0</v>
      </c>
      <c r="AY204" s="10">
        <v>0</v>
      </c>
      <c r="AZ204" s="10">
        <v>0</v>
      </c>
      <c r="BA204" s="10">
        <v>0</v>
      </c>
      <c r="BB204" s="10">
        <v>0</v>
      </c>
      <c r="BC204" s="10">
        <v>0</v>
      </c>
      <c r="BD204" s="10">
        <v>0</v>
      </c>
      <c r="BE204" s="10">
        <v>0</v>
      </c>
      <c r="BF204" s="10">
        <v>0</v>
      </c>
    </row>
    <row r="205" spans="1:58" ht="14.1" customHeight="1">
      <c r="A205" s="412">
        <f t="shared" ref="A205:A268" si="619">+A204+1</f>
        <v>199</v>
      </c>
      <c r="B205" s="52" t="s">
        <v>55</v>
      </c>
      <c r="C205" s="38">
        <f>SUM(D205:BF205)</f>
        <v>0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v>0</v>
      </c>
      <c r="AV205" s="10">
        <v>0</v>
      </c>
      <c r="AW205" s="10">
        <v>0</v>
      </c>
      <c r="AX205" s="10">
        <v>0</v>
      </c>
      <c r="AY205" s="10">
        <v>0</v>
      </c>
      <c r="AZ205" s="10">
        <v>0</v>
      </c>
      <c r="BA205" s="10">
        <v>0</v>
      </c>
      <c r="BB205" s="10">
        <v>0</v>
      </c>
      <c r="BC205" s="10">
        <v>0</v>
      </c>
      <c r="BD205" s="10">
        <v>0</v>
      </c>
      <c r="BE205" s="10">
        <v>0</v>
      </c>
      <c r="BF205" s="10">
        <v>0</v>
      </c>
    </row>
    <row r="206" spans="1:58" ht="14.1" customHeight="1">
      <c r="A206" s="412">
        <f t="shared" si="619"/>
        <v>200</v>
      </c>
      <c r="B206" s="13" t="s">
        <v>489</v>
      </c>
      <c r="C206" s="47">
        <f>SUM(C204:C205)</f>
        <v>0</v>
      </c>
      <c r="D206" s="47">
        <f>SUM(D204:D205)</f>
        <v>0</v>
      </c>
      <c r="E206" s="47">
        <f>SUM(E204:E205)</f>
        <v>0</v>
      </c>
      <c r="F206" s="47">
        <f t="shared" ref="F206" si="620">SUM(F204:F205)</f>
        <v>0</v>
      </c>
      <c r="G206" s="47">
        <f t="shared" ref="G206" si="621">SUM(G204:G205)</f>
        <v>0</v>
      </c>
      <c r="H206" s="47">
        <f t="shared" ref="H206:BE206" si="622">SUM(H204:H205)</f>
        <v>0</v>
      </c>
      <c r="I206" s="47">
        <f>SUM(I204:I205)</f>
        <v>0</v>
      </c>
      <c r="J206" s="47">
        <f>SUM(J204:J205)</f>
        <v>0</v>
      </c>
      <c r="K206" s="47">
        <f>SUM(K204:K205)</f>
        <v>0</v>
      </c>
      <c r="L206" s="47">
        <f t="shared" ref="L206" si="623">SUM(L204:L205)</f>
        <v>0</v>
      </c>
      <c r="M206" s="47">
        <f t="shared" ref="M206:AB206" si="624">SUM(M204:M205)</f>
        <v>0</v>
      </c>
      <c r="N206" s="47">
        <f t="shared" si="624"/>
        <v>0</v>
      </c>
      <c r="O206" s="47">
        <f t="shared" si="624"/>
        <v>0</v>
      </c>
      <c r="P206" s="47">
        <f t="shared" si="624"/>
        <v>0</v>
      </c>
      <c r="Q206" s="47">
        <f t="shared" si="624"/>
        <v>0</v>
      </c>
      <c r="R206" s="47">
        <f t="shared" si="624"/>
        <v>0</v>
      </c>
      <c r="S206" s="47">
        <f t="shared" si="624"/>
        <v>0</v>
      </c>
      <c r="T206" s="47">
        <f t="shared" si="624"/>
        <v>0</v>
      </c>
      <c r="U206" s="47">
        <f t="shared" si="624"/>
        <v>0</v>
      </c>
      <c r="V206" s="47">
        <f t="shared" si="624"/>
        <v>0</v>
      </c>
      <c r="W206" s="47">
        <f t="shared" si="624"/>
        <v>0</v>
      </c>
      <c r="X206" s="47">
        <f t="shared" si="624"/>
        <v>0</v>
      </c>
      <c r="Y206" s="47">
        <f t="shared" si="624"/>
        <v>0</v>
      </c>
      <c r="Z206" s="47">
        <f t="shared" si="624"/>
        <v>0</v>
      </c>
      <c r="AA206" s="47">
        <f t="shared" si="624"/>
        <v>0</v>
      </c>
      <c r="AB206" s="47">
        <f t="shared" si="624"/>
        <v>0</v>
      </c>
      <c r="AC206" s="47">
        <f t="shared" ref="AC206" si="625">SUM(AC204:AC205)</f>
        <v>0</v>
      </c>
      <c r="AD206" s="47">
        <f>SUM(AD204:AD205)</f>
        <v>0</v>
      </c>
      <c r="AE206" s="47">
        <f>SUM(AE204:AE205)</f>
        <v>0</v>
      </c>
      <c r="AF206" s="47">
        <f t="shared" ref="AF206" si="626">SUM(AF204:AF205)</f>
        <v>0</v>
      </c>
      <c r="AG206" s="47">
        <f t="shared" ref="AG206" si="627">SUM(AG204:AG205)</f>
        <v>0</v>
      </c>
      <c r="AH206" s="47">
        <f>SUM(AH204:AH205)</f>
        <v>0</v>
      </c>
      <c r="AI206" s="47">
        <f>SUM(AI204:AI205)</f>
        <v>0</v>
      </c>
      <c r="AJ206" s="47">
        <f t="shared" ref="AJ206" si="628">SUM(AJ204:AJ205)</f>
        <v>0</v>
      </c>
      <c r="AK206" s="47">
        <f t="shared" ref="AK206:AU206" si="629">SUM(AK204:AK205)</f>
        <v>0</v>
      </c>
      <c r="AL206" s="47">
        <f t="shared" si="629"/>
        <v>0</v>
      </c>
      <c r="AM206" s="47">
        <f t="shared" si="629"/>
        <v>0</v>
      </c>
      <c r="AN206" s="47">
        <f t="shared" si="629"/>
        <v>0</v>
      </c>
      <c r="AO206" s="47">
        <f t="shared" si="629"/>
        <v>0</v>
      </c>
      <c r="AP206" s="47">
        <f t="shared" si="629"/>
        <v>0</v>
      </c>
      <c r="AQ206" s="47">
        <f t="shared" si="629"/>
        <v>0</v>
      </c>
      <c r="AR206" s="47">
        <f t="shared" si="629"/>
        <v>0</v>
      </c>
      <c r="AS206" s="47">
        <f t="shared" si="629"/>
        <v>0</v>
      </c>
      <c r="AT206" s="47">
        <f t="shared" si="629"/>
        <v>0</v>
      </c>
      <c r="AU206" s="47">
        <f t="shared" si="629"/>
        <v>0</v>
      </c>
      <c r="AV206" s="47">
        <f>SUM(AV204:AV205)</f>
        <v>0</v>
      </c>
      <c r="AW206" s="47">
        <f>SUM(AW204:AW205)</f>
        <v>0</v>
      </c>
      <c r="AX206" s="47">
        <f t="shared" si="622"/>
        <v>0</v>
      </c>
      <c r="AY206" s="47">
        <f t="shared" si="622"/>
        <v>0</v>
      </c>
      <c r="AZ206" s="47">
        <f t="shared" si="622"/>
        <v>0</v>
      </c>
      <c r="BA206" s="47">
        <f t="shared" si="622"/>
        <v>0</v>
      </c>
      <c r="BB206" s="47">
        <f t="shared" si="622"/>
        <v>0</v>
      </c>
      <c r="BC206" s="47">
        <f t="shared" si="622"/>
        <v>0</v>
      </c>
      <c r="BD206" s="47">
        <f t="shared" si="622"/>
        <v>0</v>
      </c>
      <c r="BE206" s="47">
        <f t="shared" si="622"/>
        <v>0</v>
      </c>
      <c r="BF206" s="47">
        <f>SUM(BF204:BF205)</f>
        <v>0</v>
      </c>
    </row>
    <row r="207" spans="1:58" ht="14.1" customHeight="1">
      <c r="A207" s="412">
        <f t="shared" si="619"/>
        <v>201</v>
      </c>
      <c r="B207" s="22"/>
      <c r="C207" s="22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</row>
    <row r="208" spans="1:58" s="18" customFormat="1" ht="14.1" customHeight="1">
      <c r="A208" s="412">
        <f t="shared" si="619"/>
        <v>202</v>
      </c>
      <c r="B208" s="22" t="s">
        <v>138</v>
      </c>
      <c r="C208" s="38">
        <f>SUM(D208:BF208)</f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  <c r="AF208" s="10">
        <v>0</v>
      </c>
      <c r="AG208" s="10">
        <v>0</v>
      </c>
      <c r="AH208" s="10">
        <v>0</v>
      </c>
      <c r="AI208" s="10">
        <v>0</v>
      </c>
      <c r="AJ208" s="10">
        <v>0</v>
      </c>
      <c r="AK208" s="10">
        <v>0</v>
      </c>
      <c r="AL208" s="10">
        <v>0</v>
      </c>
      <c r="AM208" s="10">
        <v>0</v>
      </c>
      <c r="AN208" s="10">
        <v>0</v>
      </c>
      <c r="AO208" s="10">
        <v>0</v>
      </c>
      <c r="AP208" s="10">
        <v>0</v>
      </c>
      <c r="AQ208" s="10">
        <v>0</v>
      </c>
      <c r="AR208" s="10">
        <v>0</v>
      </c>
      <c r="AS208" s="10">
        <v>0</v>
      </c>
      <c r="AT208" s="10">
        <v>0</v>
      </c>
      <c r="AU208" s="10">
        <v>0</v>
      </c>
      <c r="AV208" s="10">
        <v>0</v>
      </c>
      <c r="AW208" s="10">
        <v>0</v>
      </c>
      <c r="AX208" s="10">
        <v>0</v>
      </c>
      <c r="AY208" s="10">
        <v>0</v>
      </c>
      <c r="AZ208" s="10">
        <v>0</v>
      </c>
      <c r="BA208" s="10">
        <v>0</v>
      </c>
      <c r="BB208" s="10">
        <v>0</v>
      </c>
      <c r="BC208" s="10">
        <v>0</v>
      </c>
      <c r="BD208" s="10">
        <v>0</v>
      </c>
      <c r="BE208" s="10">
        <v>0</v>
      </c>
      <c r="BF208" s="10">
        <v>0</v>
      </c>
    </row>
    <row r="209" spans="1:58" s="18" customFormat="1" ht="14.1" customHeight="1">
      <c r="A209" s="412">
        <f t="shared" si="619"/>
        <v>203</v>
      </c>
      <c r="B209" s="56" t="s">
        <v>55</v>
      </c>
      <c r="C209" s="38">
        <f>SUM(D209:BF209)</f>
        <v>0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0">
        <v>0</v>
      </c>
      <c r="AV209" s="10">
        <v>0</v>
      </c>
      <c r="AW209" s="10">
        <v>0</v>
      </c>
      <c r="AX209" s="10">
        <v>0</v>
      </c>
      <c r="AY209" s="10">
        <v>0</v>
      </c>
      <c r="AZ209" s="10">
        <v>0</v>
      </c>
      <c r="BA209" s="10">
        <v>0</v>
      </c>
      <c r="BB209" s="10">
        <v>0</v>
      </c>
      <c r="BC209" s="10">
        <v>0</v>
      </c>
      <c r="BD209" s="10">
        <v>0</v>
      </c>
      <c r="BE209" s="10">
        <v>0</v>
      </c>
      <c r="BF209" s="10">
        <v>0</v>
      </c>
    </row>
    <row r="210" spans="1:58" s="18" customFormat="1" ht="14.1" customHeight="1">
      <c r="A210" s="412">
        <f t="shared" si="619"/>
        <v>204</v>
      </c>
      <c r="B210" s="13" t="s">
        <v>490</v>
      </c>
      <c r="C210" s="47">
        <f>SUM(C208:C209)</f>
        <v>0</v>
      </c>
      <c r="D210" s="47">
        <f>SUM(D208:D209)</f>
        <v>0</v>
      </c>
      <c r="E210" s="47">
        <f>SUM(E208:E209)</f>
        <v>0</v>
      </c>
      <c r="F210" s="47">
        <f t="shared" ref="F210" si="630">SUM(F208:F209)</f>
        <v>0</v>
      </c>
      <c r="G210" s="47">
        <f t="shared" ref="G210" si="631">SUM(G208:G209)</f>
        <v>0</v>
      </c>
      <c r="H210" s="47">
        <f t="shared" ref="H210:BE210" si="632">SUM(H208:H209)</f>
        <v>0</v>
      </c>
      <c r="I210" s="47">
        <f>SUM(I208:I209)</f>
        <v>0</v>
      </c>
      <c r="J210" s="47">
        <f>SUM(J208:J209)</f>
        <v>0</v>
      </c>
      <c r="K210" s="47">
        <f>SUM(K208:K209)</f>
        <v>0</v>
      </c>
      <c r="L210" s="47">
        <f t="shared" ref="L210" si="633">SUM(L208:L209)</f>
        <v>0</v>
      </c>
      <c r="M210" s="47">
        <f t="shared" ref="M210:AB210" si="634">SUM(M208:M209)</f>
        <v>0</v>
      </c>
      <c r="N210" s="47">
        <f t="shared" si="634"/>
        <v>0</v>
      </c>
      <c r="O210" s="47">
        <f t="shared" si="634"/>
        <v>0</v>
      </c>
      <c r="P210" s="47">
        <f t="shared" si="634"/>
        <v>0</v>
      </c>
      <c r="Q210" s="47">
        <f t="shared" si="634"/>
        <v>0</v>
      </c>
      <c r="R210" s="47">
        <f t="shared" si="634"/>
        <v>0</v>
      </c>
      <c r="S210" s="47">
        <f t="shared" si="634"/>
        <v>0</v>
      </c>
      <c r="T210" s="47">
        <f t="shared" si="634"/>
        <v>0</v>
      </c>
      <c r="U210" s="47">
        <f t="shared" si="634"/>
        <v>0</v>
      </c>
      <c r="V210" s="47">
        <f t="shared" si="634"/>
        <v>0</v>
      </c>
      <c r="W210" s="47">
        <f t="shared" si="634"/>
        <v>0</v>
      </c>
      <c r="X210" s="47">
        <f t="shared" si="634"/>
        <v>0</v>
      </c>
      <c r="Y210" s="47">
        <f t="shared" si="634"/>
        <v>0</v>
      </c>
      <c r="Z210" s="47">
        <f t="shared" si="634"/>
        <v>0</v>
      </c>
      <c r="AA210" s="47">
        <f t="shared" si="634"/>
        <v>0</v>
      </c>
      <c r="AB210" s="47">
        <f t="shared" si="634"/>
        <v>0</v>
      </c>
      <c r="AC210" s="47">
        <f t="shared" ref="AC210" si="635">SUM(AC208:AC209)</f>
        <v>0</v>
      </c>
      <c r="AD210" s="47">
        <f>SUM(AD208:AD209)</f>
        <v>0</v>
      </c>
      <c r="AE210" s="47">
        <f>SUM(AE208:AE209)</f>
        <v>0</v>
      </c>
      <c r="AF210" s="47">
        <f t="shared" ref="AF210" si="636">SUM(AF208:AF209)</f>
        <v>0</v>
      </c>
      <c r="AG210" s="47">
        <f t="shared" ref="AG210" si="637">SUM(AG208:AG209)</f>
        <v>0</v>
      </c>
      <c r="AH210" s="47">
        <f>SUM(AH208:AH209)</f>
        <v>0</v>
      </c>
      <c r="AI210" s="47">
        <f>SUM(AI208:AI209)</f>
        <v>0</v>
      </c>
      <c r="AJ210" s="47">
        <f t="shared" ref="AJ210" si="638">SUM(AJ208:AJ209)</f>
        <v>0</v>
      </c>
      <c r="AK210" s="47">
        <f t="shared" ref="AK210:AU210" si="639">SUM(AK208:AK209)</f>
        <v>0</v>
      </c>
      <c r="AL210" s="47">
        <f t="shared" si="639"/>
        <v>0</v>
      </c>
      <c r="AM210" s="47">
        <f t="shared" si="639"/>
        <v>0</v>
      </c>
      <c r="AN210" s="47">
        <f t="shared" si="639"/>
        <v>0</v>
      </c>
      <c r="AO210" s="47">
        <f t="shared" si="639"/>
        <v>0</v>
      </c>
      <c r="AP210" s="47">
        <f t="shared" si="639"/>
        <v>0</v>
      </c>
      <c r="AQ210" s="47">
        <f t="shared" si="639"/>
        <v>0</v>
      </c>
      <c r="AR210" s="47">
        <f t="shared" si="639"/>
        <v>0</v>
      </c>
      <c r="AS210" s="47">
        <f t="shared" si="639"/>
        <v>0</v>
      </c>
      <c r="AT210" s="47">
        <f t="shared" si="639"/>
        <v>0</v>
      </c>
      <c r="AU210" s="47">
        <f t="shared" si="639"/>
        <v>0</v>
      </c>
      <c r="AV210" s="47">
        <f>SUM(AV208:AV209)</f>
        <v>0</v>
      </c>
      <c r="AW210" s="47">
        <f>SUM(AW208:AW209)</f>
        <v>0</v>
      </c>
      <c r="AX210" s="47">
        <f t="shared" si="632"/>
        <v>0</v>
      </c>
      <c r="AY210" s="47">
        <f t="shared" si="632"/>
        <v>0</v>
      </c>
      <c r="AZ210" s="47">
        <f t="shared" si="632"/>
        <v>0</v>
      </c>
      <c r="BA210" s="47">
        <f t="shared" si="632"/>
        <v>0</v>
      </c>
      <c r="BB210" s="47">
        <f t="shared" si="632"/>
        <v>0</v>
      </c>
      <c r="BC210" s="47">
        <f t="shared" si="632"/>
        <v>0</v>
      </c>
      <c r="BD210" s="47">
        <f t="shared" si="632"/>
        <v>0</v>
      </c>
      <c r="BE210" s="47">
        <f t="shared" si="632"/>
        <v>0</v>
      </c>
      <c r="BF210" s="47">
        <f>SUM(BF208:BF209)</f>
        <v>0</v>
      </c>
    </row>
    <row r="211" spans="1:58" s="18" customFormat="1" ht="14.1" customHeight="1">
      <c r="A211" s="412">
        <f t="shared" si="619"/>
        <v>205</v>
      </c>
      <c r="B211" s="22"/>
      <c r="C211" s="22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</row>
    <row r="212" spans="1:58" s="18" customFormat="1" ht="14.1" customHeight="1">
      <c r="A212" s="412">
        <f t="shared" si="619"/>
        <v>206</v>
      </c>
      <c r="B212" s="22" t="s">
        <v>139</v>
      </c>
      <c r="C212" s="38">
        <f>SUM(D212:BF212)</f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  <c r="AF212" s="10">
        <v>0</v>
      </c>
      <c r="AG212" s="10">
        <v>0</v>
      </c>
      <c r="AH212" s="10">
        <v>0</v>
      </c>
      <c r="AI212" s="10">
        <v>0</v>
      </c>
      <c r="AJ212" s="10">
        <v>0</v>
      </c>
      <c r="AK212" s="10">
        <v>0</v>
      </c>
      <c r="AL212" s="10">
        <v>0</v>
      </c>
      <c r="AM212" s="10">
        <v>0</v>
      </c>
      <c r="AN212" s="10">
        <v>0</v>
      </c>
      <c r="AO212" s="10">
        <v>0</v>
      </c>
      <c r="AP212" s="10">
        <v>0</v>
      </c>
      <c r="AQ212" s="10">
        <v>0</v>
      </c>
      <c r="AR212" s="10">
        <v>0</v>
      </c>
      <c r="AS212" s="10">
        <v>0</v>
      </c>
      <c r="AT212" s="10">
        <v>0</v>
      </c>
      <c r="AU212" s="10">
        <v>0</v>
      </c>
      <c r="AV212" s="10">
        <v>0</v>
      </c>
      <c r="AW212" s="10">
        <v>0</v>
      </c>
      <c r="AX212" s="10">
        <v>0</v>
      </c>
      <c r="AY212" s="10">
        <v>0</v>
      </c>
      <c r="AZ212" s="10">
        <v>0</v>
      </c>
      <c r="BA212" s="10">
        <v>0</v>
      </c>
      <c r="BB212" s="10">
        <v>0</v>
      </c>
      <c r="BC212" s="10">
        <v>0</v>
      </c>
      <c r="BD212" s="10">
        <v>0</v>
      </c>
      <c r="BE212" s="10">
        <v>0</v>
      </c>
      <c r="BF212" s="10">
        <v>0</v>
      </c>
    </row>
    <row r="213" spans="1:58" s="18" customFormat="1" ht="14.1" customHeight="1">
      <c r="A213" s="412">
        <f t="shared" si="619"/>
        <v>207</v>
      </c>
      <c r="B213" s="56" t="s">
        <v>55</v>
      </c>
      <c r="C213" s="38">
        <f>SUM(D213:BF213)</f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0">
        <v>0</v>
      </c>
      <c r="AV213" s="10">
        <v>0</v>
      </c>
      <c r="AW213" s="10">
        <v>0</v>
      </c>
      <c r="AX213" s="10">
        <v>0</v>
      </c>
      <c r="AY213" s="10">
        <v>0</v>
      </c>
      <c r="AZ213" s="10">
        <v>0</v>
      </c>
      <c r="BA213" s="10">
        <v>0</v>
      </c>
      <c r="BB213" s="10">
        <v>0</v>
      </c>
      <c r="BC213" s="10">
        <v>0</v>
      </c>
      <c r="BD213" s="10">
        <v>0</v>
      </c>
      <c r="BE213" s="10">
        <v>0</v>
      </c>
      <c r="BF213" s="10">
        <v>0</v>
      </c>
    </row>
    <row r="214" spans="1:58" s="18" customFormat="1" ht="14.1" customHeight="1">
      <c r="A214" s="412">
        <f t="shared" si="619"/>
        <v>208</v>
      </c>
      <c r="B214" s="13" t="s">
        <v>491</v>
      </c>
      <c r="C214" s="47">
        <f>SUM(C212:C213)</f>
        <v>0</v>
      </c>
      <c r="D214" s="47">
        <f>SUM(D212:D213)</f>
        <v>0</v>
      </c>
      <c r="E214" s="47">
        <f>SUM(E212:E213)</f>
        <v>0</v>
      </c>
      <c r="F214" s="47">
        <f t="shared" ref="F214" si="640">SUM(F212:F213)</f>
        <v>0</v>
      </c>
      <c r="G214" s="47">
        <f t="shared" ref="G214" si="641">SUM(G212:G213)</f>
        <v>0</v>
      </c>
      <c r="H214" s="47">
        <f t="shared" ref="H214:BE214" si="642">SUM(H212:H213)</f>
        <v>0</v>
      </c>
      <c r="I214" s="47">
        <f>SUM(I212:I213)</f>
        <v>0</v>
      </c>
      <c r="J214" s="47">
        <f>SUM(J212:J213)</f>
        <v>0</v>
      </c>
      <c r="K214" s="47">
        <f>SUM(K212:K213)</f>
        <v>0</v>
      </c>
      <c r="L214" s="47">
        <f t="shared" ref="L214" si="643">SUM(L212:L213)</f>
        <v>0</v>
      </c>
      <c r="M214" s="47">
        <f t="shared" ref="M214:AB214" si="644">SUM(M212:M213)</f>
        <v>0</v>
      </c>
      <c r="N214" s="47">
        <f t="shared" si="644"/>
        <v>0</v>
      </c>
      <c r="O214" s="47">
        <f t="shared" si="644"/>
        <v>0</v>
      </c>
      <c r="P214" s="47">
        <f t="shared" si="644"/>
        <v>0</v>
      </c>
      <c r="Q214" s="47">
        <f t="shared" si="644"/>
        <v>0</v>
      </c>
      <c r="R214" s="47">
        <f t="shared" si="644"/>
        <v>0</v>
      </c>
      <c r="S214" s="47">
        <f t="shared" si="644"/>
        <v>0</v>
      </c>
      <c r="T214" s="47">
        <f t="shared" si="644"/>
        <v>0</v>
      </c>
      <c r="U214" s="47">
        <f t="shared" si="644"/>
        <v>0</v>
      </c>
      <c r="V214" s="47">
        <f t="shared" si="644"/>
        <v>0</v>
      </c>
      <c r="W214" s="47">
        <f t="shared" si="644"/>
        <v>0</v>
      </c>
      <c r="X214" s="47">
        <f t="shared" si="644"/>
        <v>0</v>
      </c>
      <c r="Y214" s="47">
        <f t="shared" si="644"/>
        <v>0</v>
      </c>
      <c r="Z214" s="47">
        <f t="shared" si="644"/>
        <v>0</v>
      </c>
      <c r="AA214" s="47">
        <f t="shared" si="644"/>
        <v>0</v>
      </c>
      <c r="AB214" s="47">
        <f t="shared" si="644"/>
        <v>0</v>
      </c>
      <c r="AC214" s="47">
        <f t="shared" ref="AC214" si="645">SUM(AC212:AC213)</f>
        <v>0</v>
      </c>
      <c r="AD214" s="47">
        <f>SUM(AD212:AD213)</f>
        <v>0</v>
      </c>
      <c r="AE214" s="47">
        <f>SUM(AE212:AE213)</f>
        <v>0</v>
      </c>
      <c r="AF214" s="47">
        <f t="shared" ref="AF214" si="646">SUM(AF212:AF213)</f>
        <v>0</v>
      </c>
      <c r="AG214" s="47">
        <f t="shared" ref="AG214" si="647">SUM(AG212:AG213)</f>
        <v>0</v>
      </c>
      <c r="AH214" s="47">
        <f>SUM(AH212:AH213)</f>
        <v>0</v>
      </c>
      <c r="AI214" s="47">
        <f>SUM(AI212:AI213)</f>
        <v>0</v>
      </c>
      <c r="AJ214" s="47">
        <f t="shared" ref="AJ214" si="648">SUM(AJ212:AJ213)</f>
        <v>0</v>
      </c>
      <c r="AK214" s="47">
        <f t="shared" ref="AK214:AU214" si="649">SUM(AK212:AK213)</f>
        <v>0</v>
      </c>
      <c r="AL214" s="47">
        <f t="shared" si="649"/>
        <v>0</v>
      </c>
      <c r="AM214" s="47">
        <f t="shared" si="649"/>
        <v>0</v>
      </c>
      <c r="AN214" s="47">
        <f t="shared" si="649"/>
        <v>0</v>
      </c>
      <c r="AO214" s="47">
        <f t="shared" si="649"/>
        <v>0</v>
      </c>
      <c r="AP214" s="47">
        <f t="shared" si="649"/>
        <v>0</v>
      </c>
      <c r="AQ214" s="47">
        <f t="shared" si="649"/>
        <v>0</v>
      </c>
      <c r="AR214" s="47">
        <f t="shared" si="649"/>
        <v>0</v>
      </c>
      <c r="AS214" s="47">
        <f t="shared" si="649"/>
        <v>0</v>
      </c>
      <c r="AT214" s="47">
        <f t="shared" si="649"/>
        <v>0</v>
      </c>
      <c r="AU214" s="47">
        <f t="shared" si="649"/>
        <v>0</v>
      </c>
      <c r="AV214" s="47">
        <f>SUM(AV212:AV213)</f>
        <v>0</v>
      </c>
      <c r="AW214" s="47">
        <f>SUM(AW212:AW213)</f>
        <v>0</v>
      </c>
      <c r="AX214" s="47">
        <f t="shared" si="642"/>
        <v>0</v>
      </c>
      <c r="AY214" s="47">
        <f t="shared" si="642"/>
        <v>0</v>
      </c>
      <c r="AZ214" s="47">
        <f t="shared" si="642"/>
        <v>0</v>
      </c>
      <c r="BA214" s="47">
        <f t="shared" si="642"/>
        <v>0</v>
      </c>
      <c r="BB214" s="47">
        <f t="shared" si="642"/>
        <v>0</v>
      </c>
      <c r="BC214" s="47">
        <f t="shared" si="642"/>
        <v>0</v>
      </c>
      <c r="BD214" s="47">
        <f t="shared" si="642"/>
        <v>0</v>
      </c>
      <c r="BE214" s="47">
        <f t="shared" si="642"/>
        <v>0</v>
      </c>
      <c r="BF214" s="47">
        <f>SUM(BF212:BF213)</f>
        <v>0</v>
      </c>
    </row>
    <row r="215" spans="1:58" s="18" customFormat="1" ht="14.1" customHeight="1">
      <c r="A215" s="412">
        <f t="shared" si="619"/>
        <v>209</v>
      </c>
      <c r="B215" s="56"/>
      <c r="C215" s="56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4"/>
      <c r="BD215" s="64"/>
      <c r="BE215" s="64"/>
      <c r="BF215" s="64"/>
    </row>
    <row r="216" spans="1:58" s="18" customFormat="1" ht="14.1" customHeight="1">
      <c r="A216" s="412">
        <f t="shared" si="619"/>
        <v>210</v>
      </c>
      <c r="B216" s="91" t="s">
        <v>146</v>
      </c>
      <c r="C216" s="16">
        <f>C202+C206+C210+C214+C198</f>
        <v>0</v>
      </c>
      <c r="D216" s="16">
        <f>D202+D206+D210+D214+D198</f>
        <v>0</v>
      </c>
      <c r="E216" s="16">
        <f>E202+E206+E210+E214+E198</f>
        <v>0</v>
      </c>
      <c r="F216" s="16">
        <f t="shared" ref="F216" si="650">F202+F206+F210+F214+F198</f>
        <v>0</v>
      </c>
      <c r="G216" s="16">
        <f t="shared" ref="G216" si="651">G202+G206+G210+G214+G198</f>
        <v>0</v>
      </c>
      <c r="H216" s="16">
        <f t="shared" ref="H216:BE216" si="652">H202+H206+H210+H214+H198</f>
        <v>0</v>
      </c>
      <c r="I216" s="16">
        <f>I202+I206+I210+I214+I198</f>
        <v>0</v>
      </c>
      <c r="J216" s="16">
        <f>J202+J206+J210+J214+J198</f>
        <v>0</v>
      </c>
      <c r="K216" s="16">
        <f>K202+K206+K210+K214+K198</f>
        <v>0</v>
      </c>
      <c r="L216" s="16">
        <f t="shared" ref="L216" si="653">L202+L206+L210+L214+L198</f>
        <v>0</v>
      </c>
      <c r="M216" s="16">
        <f t="shared" ref="M216:AB216" si="654">M202+M206+M210+M214+M198</f>
        <v>0</v>
      </c>
      <c r="N216" s="16">
        <f t="shared" si="654"/>
        <v>0</v>
      </c>
      <c r="O216" s="16">
        <f t="shared" si="654"/>
        <v>0</v>
      </c>
      <c r="P216" s="16">
        <f t="shared" si="654"/>
        <v>0</v>
      </c>
      <c r="Q216" s="16">
        <f t="shared" si="654"/>
        <v>0</v>
      </c>
      <c r="R216" s="16">
        <f t="shared" si="654"/>
        <v>0</v>
      </c>
      <c r="S216" s="16">
        <f t="shared" si="654"/>
        <v>0</v>
      </c>
      <c r="T216" s="16">
        <f t="shared" si="654"/>
        <v>0</v>
      </c>
      <c r="U216" s="16">
        <f t="shared" si="654"/>
        <v>0</v>
      </c>
      <c r="V216" s="16">
        <f t="shared" si="654"/>
        <v>0</v>
      </c>
      <c r="W216" s="16">
        <f t="shared" si="654"/>
        <v>0</v>
      </c>
      <c r="X216" s="16">
        <f t="shared" si="654"/>
        <v>0</v>
      </c>
      <c r="Y216" s="16">
        <f t="shared" si="654"/>
        <v>0</v>
      </c>
      <c r="Z216" s="16">
        <f t="shared" si="654"/>
        <v>0</v>
      </c>
      <c r="AA216" s="16">
        <f t="shared" si="654"/>
        <v>0</v>
      </c>
      <c r="AB216" s="16">
        <f t="shared" si="654"/>
        <v>0</v>
      </c>
      <c r="AC216" s="16">
        <f t="shared" ref="AC216" si="655">AC202+AC206+AC210+AC214+AC198</f>
        <v>0</v>
      </c>
      <c r="AD216" s="16">
        <f>AD202+AD206+AD210+AD214+AD198</f>
        <v>0</v>
      </c>
      <c r="AE216" s="16">
        <f>AE202+AE206+AE210+AE214+AE198</f>
        <v>0</v>
      </c>
      <c r="AF216" s="16">
        <f t="shared" ref="AF216" si="656">AF202+AF206+AF210+AF214+AF198</f>
        <v>0</v>
      </c>
      <c r="AG216" s="16">
        <f t="shared" ref="AG216" si="657">AG202+AG206+AG210+AG214+AG198</f>
        <v>0</v>
      </c>
      <c r="AH216" s="16">
        <f>AH202+AH206+AH210+AH214+AH198</f>
        <v>0</v>
      </c>
      <c r="AI216" s="16">
        <f>AI202+AI206+AI210+AI214+AI198</f>
        <v>0</v>
      </c>
      <c r="AJ216" s="16">
        <f t="shared" ref="AJ216" si="658">AJ202+AJ206+AJ210+AJ214+AJ198</f>
        <v>0</v>
      </c>
      <c r="AK216" s="16">
        <f t="shared" ref="AK216:AU216" si="659">AK202+AK206+AK210+AK214+AK198</f>
        <v>0</v>
      </c>
      <c r="AL216" s="16">
        <f t="shared" si="659"/>
        <v>0</v>
      </c>
      <c r="AM216" s="16">
        <f t="shared" si="659"/>
        <v>0</v>
      </c>
      <c r="AN216" s="16">
        <f t="shared" si="659"/>
        <v>0</v>
      </c>
      <c r="AO216" s="16">
        <f t="shared" si="659"/>
        <v>0</v>
      </c>
      <c r="AP216" s="16">
        <f t="shared" si="659"/>
        <v>0</v>
      </c>
      <c r="AQ216" s="16">
        <f t="shared" si="659"/>
        <v>0</v>
      </c>
      <c r="AR216" s="16">
        <f t="shared" si="659"/>
        <v>0</v>
      </c>
      <c r="AS216" s="16">
        <f t="shared" si="659"/>
        <v>0</v>
      </c>
      <c r="AT216" s="16">
        <f t="shared" si="659"/>
        <v>0</v>
      </c>
      <c r="AU216" s="16">
        <f t="shared" si="659"/>
        <v>0</v>
      </c>
      <c r="AV216" s="16">
        <f>AV202+AV206+AV210+AV214+AV198</f>
        <v>0</v>
      </c>
      <c r="AW216" s="16">
        <f>AW202+AW206+AW210+AW214+AW198</f>
        <v>0</v>
      </c>
      <c r="AX216" s="16">
        <f t="shared" si="652"/>
        <v>0</v>
      </c>
      <c r="AY216" s="16">
        <f t="shared" si="652"/>
        <v>0</v>
      </c>
      <c r="AZ216" s="16">
        <f t="shared" si="652"/>
        <v>0</v>
      </c>
      <c r="BA216" s="16">
        <f t="shared" si="652"/>
        <v>0</v>
      </c>
      <c r="BB216" s="16">
        <f t="shared" si="652"/>
        <v>0</v>
      </c>
      <c r="BC216" s="16">
        <f t="shared" si="652"/>
        <v>0</v>
      </c>
      <c r="BD216" s="16">
        <f t="shared" si="652"/>
        <v>0</v>
      </c>
      <c r="BE216" s="16">
        <f t="shared" si="652"/>
        <v>0</v>
      </c>
      <c r="BF216" s="16">
        <f>BF202+BF206+BF210+BF214+BF198</f>
        <v>0</v>
      </c>
    </row>
    <row r="217" spans="1:58" ht="14.1" customHeight="1">
      <c r="A217" s="412">
        <f t="shared" si="619"/>
        <v>211</v>
      </c>
      <c r="B217" s="25"/>
      <c r="C217" s="25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</row>
    <row r="218" spans="1:58" ht="14.1" customHeight="1">
      <c r="A218" s="412">
        <f t="shared" si="619"/>
        <v>212</v>
      </c>
      <c r="B218" s="13" t="s">
        <v>152</v>
      </c>
      <c r="C218" s="1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</row>
    <row r="219" spans="1:58" ht="14.1" customHeight="1">
      <c r="A219" s="412">
        <f t="shared" si="619"/>
        <v>213</v>
      </c>
      <c r="B219" s="22" t="s">
        <v>136</v>
      </c>
      <c r="C219" s="38">
        <f>SUM(D219:BF219)</f>
        <v>0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v>0</v>
      </c>
      <c r="AV219" s="10">
        <v>0</v>
      </c>
      <c r="AW219" s="10">
        <v>0</v>
      </c>
      <c r="AX219" s="10">
        <v>0</v>
      </c>
      <c r="AY219" s="10">
        <v>0</v>
      </c>
      <c r="AZ219" s="10">
        <v>0</v>
      </c>
      <c r="BA219" s="10">
        <v>0</v>
      </c>
      <c r="BB219" s="10">
        <v>0</v>
      </c>
      <c r="BC219" s="10">
        <v>0</v>
      </c>
      <c r="BD219" s="10">
        <v>0</v>
      </c>
      <c r="BE219" s="10">
        <v>0</v>
      </c>
      <c r="BF219" s="10">
        <v>0</v>
      </c>
    </row>
    <row r="220" spans="1:58" ht="14.1" customHeight="1">
      <c r="A220" s="412">
        <f t="shared" si="619"/>
        <v>214</v>
      </c>
      <c r="B220" s="22" t="s">
        <v>145</v>
      </c>
      <c r="C220" s="38">
        <f>SUM(D220:BF220)</f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10">
        <v>0</v>
      </c>
      <c r="AB220" s="10">
        <v>0</v>
      </c>
      <c r="AC220" s="10">
        <v>0</v>
      </c>
      <c r="AD220" s="10">
        <v>0</v>
      </c>
      <c r="AE220" s="10">
        <v>0</v>
      </c>
      <c r="AF220" s="10">
        <v>0</v>
      </c>
      <c r="AG220" s="10">
        <v>0</v>
      </c>
      <c r="AH220" s="10">
        <v>0</v>
      </c>
      <c r="AI220" s="10">
        <v>0</v>
      </c>
      <c r="AJ220" s="10">
        <v>0</v>
      </c>
      <c r="AK220" s="10">
        <v>0</v>
      </c>
      <c r="AL220" s="10">
        <v>0</v>
      </c>
      <c r="AM220" s="10">
        <v>0</v>
      </c>
      <c r="AN220" s="10">
        <v>0</v>
      </c>
      <c r="AO220" s="10">
        <v>0</v>
      </c>
      <c r="AP220" s="10">
        <v>0</v>
      </c>
      <c r="AQ220" s="10">
        <v>0</v>
      </c>
      <c r="AR220" s="10">
        <v>0</v>
      </c>
      <c r="AS220" s="10">
        <v>0</v>
      </c>
      <c r="AT220" s="10">
        <v>0</v>
      </c>
      <c r="AU220" s="10">
        <v>0</v>
      </c>
      <c r="AV220" s="10">
        <v>0</v>
      </c>
      <c r="AW220" s="10">
        <v>0</v>
      </c>
      <c r="AX220" s="10">
        <v>0</v>
      </c>
      <c r="AY220" s="10">
        <v>0</v>
      </c>
      <c r="AZ220" s="10">
        <v>0</v>
      </c>
      <c r="BA220" s="10">
        <v>0</v>
      </c>
      <c r="BB220" s="10">
        <v>0</v>
      </c>
      <c r="BC220" s="10">
        <v>0</v>
      </c>
      <c r="BD220" s="10">
        <v>0</v>
      </c>
      <c r="BE220" s="10">
        <v>0</v>
      </c>
      <c r="BF220" s="10">
        <v>0</v>
      </c>
    </row>
    <row r="221" spans="1:58" ht="14.1" customHeight="1">
      <c r="A221" s="412">
        <f t="shared" si="619"/>
        <v>215</v>
      </c>
      <c r="B221" s="22" t="s">
        <v>138</v>
      </c>
      <c r="C221" s="38">
        <f>SUM(D221:BF221)</f>
        <v>0</v>
      </c>
      <c r="D221" s="10">
        <v>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v>0</v>
      </c>
      <c r="AV221" s="10">
        <v>0</v>
      </c>
      <c r="AW221" s="10">
        <v>0</v>
      </c>
      <c r="AX221" s="10">
        <v>0</v>
      </c>
      <c r="AY221" s="10">
        <v>0</v>
      </c>
      <c r="AZ221" s="10">
        <v>0</v>
      </c>
      <c r="BA221" s="10">
        <v>0</v>
      </c>
      <c r="BB221" s="10">
        <v>0</v>
      </c>
      <c r="BC221" s="10">
        <v>0</v>
      </c>
      <c r="BD221" s="10">
        <v>0</v>
      </c>
      <c r="BE221" s="10">
        <v>0</v>
      </c>
      <c r="BF221" s="10">
        <v>0</v>
      </c>
    </row>
    <row r="222" spans="1:58" ht="14.1" customHeight="1">
      <c r="A222" s="412">
        <f t="shared" si="619"/>
        <v>216</v>
      </c>
      <c r="B222" s="56" t="s">
        <v>139</v>
      </c>
      <c r="C222" s="38">
        <f>SUM(D222:BF222)</f>
        <v>0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  <c r="AF222" s="10">
        <v>0</v>
      </c>
      <c r="AG222" s="10">
        <v>0</v>
      </c>
      <c r="AH222" s="10">
        <v>0</v>
      </c>
      <c r="AI222" s="10">
        <v>0</v>
      </c>
      <c r="AJ222" s="10">
        <v>0</v>
      </c>
      <c r="AK222" s="10">
        <v>0</v>
      </c>
      <c r="AL222" s="10">
        <v>0</v>
      </c>
      <c r="AM222" s="10">
        <v>0</v>
      </c>
      <c r="AN222" s="10">
        <v>0</v>
      </c>
      <c r="AO222" s="10">
        <v>0</v>
      </c>
      <c r="AP222" s="10">
        <v>0</v>
      </c>
      <c r="AQ222" s="10">
        <v>0</v>
      </c>
      <c r="AR222" s="10">
        <v>0</v>
      </c>
      <c r="AS222" s="10">
        <v>0</v>
      </c>
      <c r="AT222" s="10">
        <v>0</v>
      </c>
      <c r="AU222" s="10">
        <v>0</v>
      </c>
      <c r="AV222" s="10">
        <v>0</v>
      </c>
      <c r="AW222" s="10">
        <v>0</v>
      </c>
      <c r="AX222" s="10">
        <v>0</v>
      </c>
      <c r="AY222" s="10">
        <v>0</v>
      </c>
      <c r="AZ222" s="10">
        <v>0</v>
      </c>
      <c r="BA222" s="10">
        <v>0</v>
      </c>
      <c r="BB222" s="10">
        <v>0</v>
      </c>
      <c r="BC222" s="10">
        <v>0</v>
      </c>
      <c r="BD222" s="10">
        <v>0</v>
      </c>
      <c r="BE222" s="10">
        <v>0</v>
      </c>
      <c r="BF222" s="10">
        <v>0</v>
      </c>
    </row>
    <row r="223" spans="1:58" ht="14.1" customHeight="1">
      <c r="A223" s="412">
        <f t="shared" si="619"/>
        <v>217</v>
      </c>
      <c r="B223" s="91" t="s">
        <v>496</v>
      </c>
      <c r="C223" s="86">
        <f>SUM(C219:C222)</f>
        <v>0</v>
      </c>
      <c r="D223" s="86">
        <f>SUM(D219:D222)</f>
        <v>0</v>
      </c>
      <c r="E223" s="86">
        <f>SUM(E219:E222)</f>
        <v>0</v>
      </c>
      <c r="F223" s="86">
        <f t="shared" ref="F223" si="660">SUM(F219:F222)</f>
        <v>0</v>
      </c>
      <c r="G223" s="86">
        <f t="shared" ref="G223" si="661">SUM(G219:G222)</f>
        <v>0</v>
      </c>
      <c r="H223" s="86">
        <f t="shared" ref="H223:BE223" si="662">SUM(H219:H222)</f>
        <v>0</v>
      </c>
      <c r="I223" s="86">
        <f>SUM(I219:I222)</f>
        <v>0</v>
      </c>
      <c r="J223" s="86">
        <f>SUM(J219:J222)</f>
        <v>0</v>
      </c>
      <c r="K223" s="86">
        <f>SUM(K219:K222)</f>
        <v>0</v>
      </c>
      <c r="L223" s="86">
        <f t="shared" ref="L223" si="663">SUM(L219:L222)</f>
        <v>0</v>
      </c>
      <c r="M223" s="86">
        <f t="shared" ref="M223:AB223" si="664">SUM(M219:M222)</f>
        <v>0</v>
      </c>
      <c r="N223" s="86">
        <f t="shared" si="664"/>
        <v>0</v>
      </c>
      <c r="O223" s="86">
        <f t="shared" si="664"/>
        <v>0</v>
      </c>
      <c r="P223" s="86">
        <f t="shared" si="664"/>
        <v>0</v>
      </c>
      <c r="Q223" s="86">
        <f t="shared" si="664"/>
        <v>0</v>
      </c>
      <c r="R223" s="86">
        <f t="shared" si="664"/>
        <v>0</v>
      </c>
      <c r="S223" s="86">
        <f t="shared" si="664"/>
        <v>0</v>
      </c>
      <c r="T223" s="86">
        <f t="shared" si="664"/>
        <v>0</v>
      </c>
      <c r="U223" s="86">
        <f t="shared" si="664"/>
        <v>0</v>
      </c>
      <c r="V223" s="86">
        <f t="shared" si="664"/>
        <v>0</v>
      </c>
      <c r="W223" s="86">
        <f t="shared" si="664"/>
        <v>0</v>
      </c>
      <c r="X223" s="86">
        <f t="shared" si="664"/>
        <v>0</v>
      </c>
      <c r="Y223" s="86">
        <f t="shared" si="664"/>
        <v>0</v>
      </c>
      <c r="Z223" s="86">
        <f t="shared" si="664"/>
        <v>0</v>
      </c>
      <c r="AA223" s="86">
        <f t="shared" si="664"/>
        <v>0</v>
      </c>
      <c r="AB223" s="86">
        <f t="shared" si="664"/>
        <v>0</v>
      </c>
      <c r="AC223" s="86">
        <f t="shared" ref="AC223" si="665">SUM(AC219:AC222)</f>
        <v>0</v>
      </c>
      <c r="AD223" s="86">
        <f>SUM(AD219:AD222)</f>
        <v>0</v>
      </c>
      <c r="AE223" s="86">
        <f>SUM(AE219:AE222)</f>
        <v>0</v>
      </c>
      <c r="AF223" s="86">
        <f t="shared" ref="AF223" si="666">SUM(AF219:AF222)</f>
        <v>0</v>
      </c>
      <c r="AG223" s="86">
        <f t="shared" ref="AG223" si="667">SUM(AG219:AG222)</f>
        <v>0</v>
      </c>
      <c r="AH223" s="86">
        <f>SUM(AH219:AH222)</f>
        <v>0</v>
      </c>
      <c r="AI223" s="86">
        <f>SUM(AI219:AI222)</f>
        <v>0</v>
      </c>
      <c r="AJ223" s="86">
        <f t="shared" ref="AJ223" si="668">SUM(AJ219:AJ222)</f>
        <v>0</v>
      </c>
      <c r="AK223" s="86">
        <f t="shared" ref="AK223:AU223" si="669">SUM(AK219:AK222)</f>
        <v>0</v>
      </c>
      <c r="AL223" s="86">
        <f t="shared" si="669"/>
        <v>0</v>
      </c>
      <c r="AM223" s="86">
        <f t="shared" si="669"/>
        <v>0</v>
      </c>
      <c r="AN223" s="86">
        <f t="shared" si="669"/>
        <v>0</v>
      </c>
      <c r="AO223" s="86">
        <f t="shared" si="669"/>
        <v>0</v>
      </c>
      <c r="AP223" s="86">
        <f t="shared" si="669"/>
        <v>0</v>
      </c>
      <c r="AQ223" s="86">
        <f t="shared" si="669"/>
        <v>0</v>
      </c>
      <c r="AR223" s="86">
        <f t="shared" si="669"/>
        <v>0</v>
      </c>
      <c r="AS223" s="86">
        <f t="shared" si="669"/>
        <v>0</v>
      </c>
      <c r="AT223" s="86">
        <f t="shared" si="669"/>
        <v>0</v>
      </c>
      <c r="AU223" s="86">
        <f t="shared" si="669"/>
        <v>0</v>
      </c>
      <c r="AV223" s="86">
        <f>SUM(AV219:AV222)</f>
        <v>0</v>
      </c>
      <c r="AW223" s="86">
        <f>SUM(AW219:AW222)</f>
        <v>0</v>
      </c>
      <c r="AX223" s="86">
        <f t="shared" si="662"/>
        <v>0</v>
      </c>
      <c r="AY223" s="86">
        <f t="shared" si="662"/>
        <v>0</v>
      </c>
      <c r="AZ223" s="86">
        <f t="shared" si="662"/>
        <v>0</v>
      </c>
      <c r="BA223" s="86">
        <f t="shared" si="662"/>
        <v>0</v>
      </c>
      <c r="BB223" s="86">
        <f t="shared" si="662"/>
        <v>0</v>
      </c>
      <c r="BC223" s="86">
        <f t="shared" si="662"/>
        <v>0</v>
      </c>
      <c r="BD223" s="86">
        <f t="shared" si="662"/>
        <v>0</v>
      </c>
      <c r="BE223" s="86">
        <f t="shared" si="662"/>
        <v>0</v>
      </c>
      <c r="BF223" s="86">
        <f>SUM(BF219:BF222)</f>
        <v>0</v>
      </c>
    </row>
    <row r="224" spans="1:58" ht="14.1" customHeight="1">
      <c r="A224" s="412">
        <f t="shared" si="619"/>
        <v>218</v>
      </c>
      <c r="B224" s="25"/>
      <c r="C224" s="25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</row>
    <row r="225" spans="1:58" s="18" customFormat="1" ht="14.1" customHeight="1">
      <c r="A225" s="412">
        <f t="shared" si="619"/>
        <v>219</v>
      </c>
      <c r="B225" s="13" t="s">
        <v>374</v>
      </c>
      <c r="C225" s="1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</row>
    <row r="226" spans="1:58" ht="14.1" customHeight="1">
      <c r="A226" s="412">
        <f t="shared" si="619"/>
        <v>220</v>
      </c>
      <c r="B226" s="22" t="s">
        <v>153</v>
      </c>
      <c r="C226" s="38">
        <f>SUM(D226:BF226)</f>
        <v>-6709111</v>
      </c>
      <c r="D226" s="10">
        <v>0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10">
        <v>0</v>
      </c>
      <c r="AB226" s="10">
        <v>0</v>
      </c>
      <c r="AC226" s="10">
        <v>0</v>
      </c>
      <c r="AD226" s="10">
        <v>0</v>
      </c>
      <c r="AE226" s="10">
        <v>0</v>
      </c>
      <c r="AF226" s="10">
        <v>0</v>
      </c>
      <c r="AG226" s="10">
        <v>0</v>
      </c>
      <c r="AH226" s="10">
        <v>0</v>
      </c>
      <c r="AI226" s="10">
        <v>0</v>
      </c>
      <c r="AJ226" s="10">
        <v>0</v>
      </c>
      <c r="AK226" s="10">
        <v>0</v>
      </c>
      <c r="AL226" s="10">
        <v>0</v>
      </c>
      <c r="AM226" s="10">
        <v>0</v>
      </c>
      <c r="AN226" s="10">
        <v>0</v>
      </c>
      <c r="AO226" s="10">
        <v>0</v>
      </c>
      <c r="AP226" s="10">
        <v>0</v>
      </c>
      <c r="AQ226" s="10">
        <v>0</v>
      </c>
      <c r="AR226" s="10">
        <v>0</v>
      </c>
      <c r="AS226" s="10">
        <v>0</v>
      </c>
      <c r="AT226" s="10">
        <v>0</v>
      </c>
      <c r="AU226" s="10">
        <v>-6709111</v>
      </c>
      <c r="AV226" s="10">
        <v>0</v>
      </c>
      <c r="AW226" s="10">
        <v>0</v>
      </c>
      <c r="AX226" s="10">
        <v>0</v>
      </c>
      <c r="AY226" s="10">
        <v>0</v>
      </c>
      <c r="AZ226" s="10">
        <v>0</v>
      </c>
      <c r="BA226" s="10">
        <v>0</v>
      </c>
      <c r="BB226" s="10">
        <v>0</v>
      </c>
      <c r="BC226" s="10">
        <v>0</v>
      </c>
      <c r="BD226" s="10">
        <v>0</v>
      </c>
      <c r="BE226" s="10">
        <v>0</v>
      </c>
      <c r="BF226" s="10">
        <v>0</v>
      </c>
    </row>
    <row r="227" spans="1:58" ht="14.1" customHeight="1">
      <c r="A227" s="412">
        <f t="shared" si="619"/>
        <v>221</v>
      </c>
      <c r="B227" s="22" t="s">
        <v>155</v>
      </c>
      <c r="C227" s="38">
        <f>SUM(D227:BF227)</f>
        <v>0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v>0</v>
      </c>
      <c r="AU227" s="10">
        <v>0</v>
      </c>
      <c r="AV227" s="10">
        <v>0</v>
      </c>
      <c r="AW227" s="10">
        <v>0</v>
      </c>
      <c r="AX227" s="10">
        <v>0</v>
      </c>
      <c r="AY227" s="10">
        <v>0</v>
      </c>
      <c r="AZ227" s="10">
        <v>0</v>
      </c>
      <c r="BA227" s="10">
        <v>0</v>
      </c>
      <c r="BB227" s="10">
        <v>0</v>
      </c>
      <c r="BC227" s="10">
        <v>0</v>
      </c>
      <c r="BD227" s="10">
        <v>0</v>
      </c>
      <c r="BE227" s="10">
        <v>0</v>
      </c>
      <c r="BF227" s="10">
        <v>0</v>
      </c>
    </row>
    <row r="228" spans="1:58" ht="14.1" customHeight="1">
      <c r="A228" s="412">
        <f t="shared" si="619"/>
        <v>222</v>
      </c>
      <c r="B228" s="22" t="s">
        <v>155</v>
      </c>
      <c r="C228" s="38">
        <f>SUM(D228:BF228)</f>
        <v>-1610192</v>
      </c>
      <c r="D228" s="10">
        <v>0</v>
      </c>
      <c r="E228" s="10">
        <v>0</v>
      </c>
      <c r="F228" s="10">
        <v>0</v>
      </c>
      <c r="G228" s="10">
        <v>-1610192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  <c r="AF228" s="10">
        <v>0</v>
      </c>
      <c r="AG228" s="10">
        <v>0</v>
      </c>
      <c r="AH228" s="10">
        <v>0</v>
      </c>
      <c r="AI228" s="10">
        <v>0</v>
      </c>
      <c r="AJ228" s="10">
        <v>0</v>
      </c>
      <c r="AK228" s="10">
        <v>0</v>
      </c>
      <c r="AL228" s="10">
        <v>0</v>
      </c>
      <c r="AM228" s="10">
        <v>0</v>
      </c>
      <c r="AN228" s="10">
        <v>0</v>
      </c>
      <c r="AO228" s="10">
        <v>0</v>
      </c>
      <c r="AP228" s="10">
        <v>0</v>
      </c>
      <c r="AQ228" s="10">
        <v>0</v>
      </c>
      <c r="AR228" s="10">
        <v>0</v>
      </c>
      <c r="AS228" s="10">
        <v>0</v>
      </c>
      <c r="AT228" s="10">
        <v>0</v>
      </c>
      <c r="AU228" s="10">
        <v>0</v>
      </c>
      <c r="AV228" s="10">
        <v>0</v>
      </c>
      <c r="AW228" s="10">
        <v>0</v>
      </c>
      <c r="AX228" s="10">
        <v>0</v>
      </c>
      <c r="AY228" s="10">
        <v>0</v>
      </c>
      <c r="AZ228" s="10">
        <v>0</v>
      </c>
      <c r="BA228" s="10">
        <v>0</v>
      </c>
      <c r="BB228" s="10">
        <v>0</v>
      </c>
      <c r="BC228" s="10">
        <v>0</v>
      </c>
      <c r="BD228" s="10">
        <v>0</v>
      </c>
      <c r="BE228" s="10">
        <v>0</v>
      </c>
      <c r="BF228" s="10">
        <v>0</v>
      </c>
    </row>
    <row r="229" spans="1:58" ht="14.1" customHeight="1">
      <c r="A229" s="412">
        <f t="shared" si="619"/>
        <v>223</v>
      </c>
      <c r="B229" s="22" t="s">
        <v>156</v>
      </c>
      <c r="C229" s="38">
        <f>SUM(D229:BF229)</f>
        <v>0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v>0</v>
      </c>
      <c r="AU229" s="10">
        <v>0</v>
      </c>
      <c r="AV229" s="10">
        <v>0</v>
      </c>
      <c r="AW229" s="10">
        <v>0</v>
      </c>
      <c r="AX229" s="10">
        <v>0</v>
      </c>
      <c r="AY229" s="10">
        <v>0</v>
      </c>
      <c r="AZ229" s="10">
        <v>0</v>
      </c>
      <c r="BA229" s="10">
        <v>0</v>
      </c>
      <c r="BB229" s="10">
        <v>0</v>
      </c>
      <c r="BC229" s="10">
        <v>0</v>
      </c>
      <c r="BD229" s="10">
        <v>0</v>
      </c>
      <c r="BE229" s="10">
        <v>0</v>
      </c>
      <c r="BF229" s="10">
        <v>0</v>
      </c>
    </row>
    <row r="230" spans="1:58" ht="14.1" customHeight="1">
      <c r="A230" s="412">
        <f t="shared" si="619"/>
        <v>224</v>
      </c>
      <c r="B230" s="56" t="s">
        <v>157</v>
      </c>
      <c r="C230" s="212">
        <f>SUM(D230:BF230)</f>
        <v>0</v>
      </c>
      <c r="D230" s="64">
        <v>0</v>
      </c>
      <c r="E230" s="64">
        <v>0</v>
      </c>
      <c r="F230" s="64">
        <v>0</v>
      </c>
      <c r="G230" s="64">
        <v>0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>
        <v>0</v>
      </c>
      <c r="S230" s="64">
        <v>0</v>
      </c>
      <c r="T230" s="64">
        <v>0</v>
      </c>
      <c r="U230" s="64">
        <v>0</v>
      </c>
      <c r="V230" s="64">
        <v>0</v>
      </c>
      <c r="W230" s="64">
        <v>0</v>
      </c>
      <c r="X230" s="64">
        <v>0</v>
      </c>
      <c r="Y230" s="64">
        <v>0</v>
      </c>
      <c r="Z230" s="64">
        <v>0</v>
      </c>
      <c r="AA230" s="64">
        <v>0</v>
      </c>
      <c r="AB230" s="64">
        <v>0</v>
      </c>
      <c r="AC230" s="64">
        <v>0</v>
      </c>
      <c r="AD230" s="64">
        <v>0</v>
      </c>
      <c r="AE230" s="64">
        <v>0</v>
      </c>
      <c r="AF230" s="64">
        <v>0</v>
      </c>
      <c r="AG230" s="64">
        <v>0</v>
      </c>
      <c r="AH230" s="64">
        <v>0</v>
      </c>
      <c r="AI230" s="64">
        <v>0</v>
      </c>
      <c r="AJ230" s="64">
        <v>0</v>
      </c>
      <c r="AK230" s="64">
        <v>0</v>
      </c>
      <c r="AL230" s="64">
        <v>0</v>
      </c>
      <c r="AM230" s="64">
        <v>0</v>
      </c>
      <c r="AN230" s="64">
        <v>0</v>
      </c>
      <c r="AO230" s="64">
        <v>0</v>
      </c>
      <c r="AP230" s="64">
        <v>0</v>
      </c>
      <c r="AQ230" s="64">
        <v>0</v>
      </c>
      <c r="AR230" s="64">
        <v>0</v>
      </c>
      <c r="AS230" s="64">
        <v>0</v>
      </c>
      <c r="AT230" s="64">
        <v>0</v>
      </c>
      <c r="AU230" s="64">
        <v>0</v>
      </c>
      <c r="AV230" s="64">
        <v>0</v>
      </c>
      <c r="AW230" s="64">
        <v>0</v>
      </c>
      <c r="AX230" s="64">
        <v>0</v>
      </c>
      <c r="AY230" s="64">
        <v>0</v>
      </c>
      <c r="AZ230" s="64">
        <v>0</v>
      </c>
      <c r="BA230" s="64">
        <v>0</v>
      </c>
      <c r="BB230" s="64">
        <v>0</v>
      </c>
      <c r="BC230" s="64">
        <v>0</v>
      </c>
      <c r="BD230" s="64">
        <v>0</v>
      </c>
      <c r="BE230" s="64">
        <v>0</v>
      </c>
      <c r="BF230" s="64">
        <v>0</v>
      </c>
    </row>
    <row r="231" spans="1:58" ht="14.1" customHeight="1">
      <c r="A231" s="412">
        <f t="shared" si="619"/>
        <v>225</v>
      </c>
      <c r="B231" s="13" t="s">
        <v>526</v>
      </c>
      <c r="C231" s="10">
        <f t="shared" ref="C231:H231" si="670">SUM(C226:C230)</f>
        <v>-8319303</v>
      </c>
      <c r="D231" s="10">
        <f t="shared" si="670"/>
        <v>0</v>
      </c>
      <c r="E231" s="10">
        <f t="shared" ref="E231" si="671">SUM(E226:E230)</f>
        <v>0</v>
      </c>
      <c r="F231" s="10">
        <f t="shared" ref="F231" si="672">SUM(F226:F230)</f>
        <v>0</v>
      </c>
      <c r="G231" s="10">
        <f t="shared" ref="G231" si="673">SUM(G226:G230)</f>
        <v>-1610192</v>
      </c>
      <c r="H231" s="10">
        <f t="shared" si="670"/>
        <v>0</v>
      </c>
      <c r="I231" s="10">
        <f>SUM(I226:I230)</f>
        <v>0</v>
      </c>
      <c r="J231" s="10">
        <f>SUM(J226:J230)</f>
        <v>0</v>
      </c>
      <c r="K231" s="10">
        <f>SUM(K226:K230)</f>
        <v>0</v>
      </c>
      <c r="L231" s="10">
        <f t="shared" ref="L231" si="674">SUM(L226:L230)</f>
        <v>0</v>
      </c>
      <c r="M231" s="10">
        <f t="shared" ref="M231:AB231" si="675">SUM(M226:M230)</f>
        <v>0</v>
      </c>
      <c r="N231" s="10">
        <f t="shared" si="675"/>
        <v>0</v>
      </c>
      <c r="O231" s="10">
        <f t="shared" si="675"/>
        <v>0</v>
      </c>
      <c r="P231" s="10">
        <f t="shared" si="675"/>
        <v>0</v>
      </c>
      <c r="Q231" s="10">
        <f t="shared" si="675"/>
        <v>0</v>
      </c>
      <c r="R231" s="10">
        <f t="shared" si="675"/>
        <v>0</v>
      </c>
      <c r="S231" s="10">
        <f t="shared" si="675"/>
        <v>0</v>
      </c>
      <c r="T231" s="10">
        <f t="shared" si="675"/>
        <v>0</v>
      </c>
      <c r="U231" s="10">
        <f t="shared" si="675"/>
        <v>0</v>
      </c>
      <c r="V231" s="10">
        <f t="shared" si="675"/>
        <v>0</v>
      </c>
      <c r="W231" s="10">
        <f t="shared" si="675"/>
        <v>0</v>
      </c>
      <c r="X231" s="10">
        <f t="shared" si="675"/>
        <v>0</v>
      </c>
      <c r="Y231" s="10">
        <f t="shared" si="675"/>
        <v>0</v>
      </c>
      <c r="Z231" s="10">
        <f t="shared" si="675"/>
        <v>0</v>
      </c>
      <c r="AA231" s="10">
        <f t="shared" si="675"/>
        <v>0</v>
      </c>
      <c r="AB231" s="10">
        <f t="shared" si="675"/>
        <v>0</v>
      </c>
      <c r="AC231" s="10">
        <f t="shared" ref="AC231" si="676">SUM(AC226:AC230)</f>
        <v>0</v>
      </c>
      <c r="AD231" s="10">
        <f>SUM(AD226:AD230)</f>
        <v>0</v>
      </c>
      <c r="AE231" s="10">
        <f>SUM(AE226:AE230)</f>
        <v>0</v>
      </c>
      <c r="AF231" s="10">
        <f t="shared" ref="AF231" si="677">SUM(AF226:AF230)</f>
        <v>0</v>
      </c>
      <c r="AG231" s="10">
        <f t="shared" ref="AG231" si="678">SUM(AG226:AG230)</f>
        <v>0</v>
      </c>
      <c r="AH231" s="10">
        <f>SUM(AH226:AH230)</f>
        <v>0</v>
      </c>
      <c r="AI231" s="10">
        <f>SUM(AI226:AI230)</f>
        <v>0</v>
      </c>
      <c r="AJ231" s="10">
        <f t="shared" ref="AJ231" si="679">SUM(AJ226:AJ230)</f>
        <v>0</v>
      </c>
      <c r="AK231" s="10">
        <f t="shared" ref="AK231:AU231" si="680">SUM(AK226:AK230)</f>
        <v>0</v>
      </c>
      <c r="AL231" s="10">
        <f t="shared" si="680"/>
        <v>0</v>
      </c>
      <c r="AM231" s="10">
        <f t="shared" si="680"/>
        <v>0</v>
      </c>
      <c r="AN231" s="10">
        <f t="shared" si="680"/>
        <v>0</v>
      </c>
      <c r="AO231" s="10">
        <f t="shared" si="680"/>
        <v>0</v>
      </c>
      <c r="AP231" s="10">
        <f t="shared" si="680"/>
        <v>0</v>
      </c>
      <c r="AQ231" s="10">
        <f t="shared" si="680"/>
        <v>0</v>
      </c>
      <c r="AR231" s="10">
        <f t="shared" si="680"/>
        <v>0</v>
      </c>
      <c r="AS231" s="10">
        <f t="shared" si="680"/>
        <v>0</v>
      </c>
      <c r="AT231" s="10">
        <f t="shared" si="680"/>
        <v>0</v>
      </c>
      <c r="AU231" s="10">
        <f t="shared" si="680"/>
        <v>-6709111</v>
      </c>
      <c r="AV231" s="10">
        <f>SUM(AV226:AV230)</f>
        <v>0</v>
      </c>
      <c r="AW231" s="10">
        <f>SUM(AW226:AW230)</f>
        <v>0</v>
      </c>
      <c r="AX231" s="10">
        <f t="shared" ref="AX231:AZ231" si="681">SUM(AX226:AX230)</f>
        <v>0</v>
      </c>
      <c r="AY231" s="10">
        <f t="shared" si="681"/>
        <v>0</v>
      </c>
      <c r="AZ231" s="10">
        <f t="shared" si="681"/>
        <v>0</v>
      </c>
      <c r="BA231" s="10">
        <f t="shared" ref="BA231:BE231" si="682">SUM(BA226:BA230)</f>
        <v>0</v>
      </c>
      <c r="BB231" s="10">
        <f t="shared" si="682"/>
        <v>0</v>
      </c>
      <c r="BC231" s="10">
        <f t="shared" si="682"/>
        <v>0</v>
      </c>
      <c r="BD231" s="10">
        <f t="shared" si="682"/>
        <v>0</v>
      </c>
      <c r="BE231" s="10">
        <f t="shared" si="682"/>
        <v>0</v>
      </c>
      <c r="BF231" s="10">
        <f>SUM(BF226:BF230)</f>
        <v>0</v>
      </c>
    </row>
    <row r="232" spans="1:58" ht="14.1" customHeight="1">
      <c r="A232" s="412">
        <f t="shared" si="619"/>
        <v>226</v>
      </c>
      <c r="B232" s="22"/>
      <c r="C232" s="38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</row>
    <row r="233" spans="1:58" ht="14.1" customHeight="1">
      <c r="A233" s="412">
        <f t="shared" si="619"/>
        <v>227</v>
      </c>
      <c r="B233" s="13" t="s">
        <v>373</v>
      </c>
      <c r="C233" s="38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</row>
    <row r="234" spans="1:58" ht="14.1" customHeight="1">
      <c r="A234" s="412">
        <f t="shared" si="619"/>
        <v>228</v>
      </c>
      <c r="B234" s="22" t="s">
        <v>158</v>
      </c>
      <c r="C234" s="38">
        <f>SUM(D234:BF234)</f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  <c r="AF234" s="10">
        <v>0</v>
      </c>
      <c r="AG234" s="10">
        <v>0</v>
      </c>
      <c r="AH234" s="10">
        <v>0</v>
      </c>
      <c r="AI234" s="10">
        <v>0</v>
      </c>
      <c r="AJ234" s="10">
        <v>0</v>
      </c>
      <c r="AK234" s="10">
        <v>0</v>
      </c>
      <c r="AL234" s="10">
        <v>0</v>
      </c>
      <c r="AM234" s="10">
        <v>0</v>
      </c>
      <c r="AN234" s="10">
        <v>0</v>
      </c>
      <c r="AO234" s="10">
        <v>0</v>
      </c>
      <c r="AP234" s="10">
        <v>0</v>
      </c>
      <c r="AQ234" s="10">
        <v>0</v>
      </c>
      <c r="AR234" s="10">
        <v>0</v>
      </c>
      <c r="AS234" s="10">
        <v>0</v>
      </c>
      <c r="AT234" s="10">
        <v>0</v>
      </c>
      <c r="AU234" s="10">
        <v>0</v>
      </c>
      <c r="AV234" s="10">
        <v>0</v>
      </c>
      <c r="AW234" s="10">
        <v>0</v>
      </c>
      <c r="AX234" s="10">
        <v>0</v>
      </c>
      <c r="AY234" s="10">
        <v>0</v>
      </c>
      <c r="AZ234" s="10">
        <v>0</v>
      </c>
      <c r="BA234" s="10">
        <v>0</v>
      </c>
      <c r="BB234" s="10">
        <v>0</v>
      </c>
      <c r="BC234" s="10">
        <v>0</v>
      </c>
      <c r="BD234" s="10">
        <v>0</v>
      </c>
      <c r="BE234" s="10">
        <v>0</v>
      </c>
      <c r="BF234" s="10">
        <v>0</v>
      </c>
    </row>
    <row r="235" spans="1:58" ht="14.1" customHeight="1">
      <c r="A235" s="412">
        <f t="shared" si="619"/>
        <v>229</v>
      </c>
      <c r="B235" s="56" t="s">
        <v>159</v>
      </c>
      <c r="C235" s="38">
        <f>SUM(D235:BF235)</f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v>0</v>
      </c>
      <c r="AV235" s="10">
        <v>0</v>
      </c>
      <c r="AW235" s="10">
        <v>0</v>
      </c>
      <c r="AX235" s="10">
        <v>0</v>
      </c>
      <c r="AY235" s="10">
        <v>0</v>
      </c>
      <c r="AZ235" s="10">
        <v>0</v>
      </c>
      <c r="BA235" s="10">
        <v>0</v>
      </c>
      <c r="BB235" s="10">
        <v>0</v>
      </c>
      <c r="BC235" s="10">
        <v>0</v>
      </c>
      <c r="BD235" s="10">
        <v>0</v>
      </c>
      <c r="BE235" s="10">
        <v>0</v>
      </c>
      <c r="BF235" s="10">
        <v>0</v>
      </c>
    </row>
    <row r="236" spans="1:58" ht="14.1" customHeight="1">
      <c r="A236" s="412">
        <f t="shared" si="619"/>
        <v>230</v>
      </c>
      <c r="B236" s="91" t="s">
        <v>527</v>
      </c>
      <c r="C236" s="86">
        <f>SUM(C234:C235)</f>
        <v>0</v>
      </c>
      <c r="D236" s="86">
        <f>SUM(D234:D235)</f>
        <v>0</v>
      </c>
      <c r="E236" s="86">
        <f>SUM(E234:E235)</f>
        <v>0</v>
      </c>
      <c r="F236" s="86">
        <f t="shared" ref="F236" si="683">SUM(F234:F235)</f>
        <v>0</v>
      </c>
      <c r="G236" s="86">
        <f t="shared" ref="G236" si="684">SUM(G234:G235)</f>
        <v>0</v>
      </c>
      <c r="H236" s="86">
        <f t="shared" ref="H236:BE236" si="685">SUM(H234:H235)</f>
        <v>0</v>
      </c>
      <c r="I236" s="86">
        <f>SUM(I234:I235)</f>
        <v>0</v>
      </c>
      <c r="J236" s="86">
        <f>SUM(J234:J235)</f>
        <v>0</v>
      </c>
      <c r="K236" s="86">
        <f>SUM(K234:K235)</f>
        <v>0</v>
      </c>
      <c r="L236" s="86">
        <f t="shared" ref="L236" si="686">SUM(L234:L235)</f>
        <v>0</v>
      </c>
      <c r="M236" s="86">
        <f t="shared" ref="M236:AB236" si="687">SUM(M234:M235)</f>
        <v>0</v>
      </c>
      <c r="N236" s="86">
        <f t="shared" si="687"/>
        <v>0</v>
      </c>
      <c r="O236" s="86">
        <f t="shared" si="687"/>
        <v>0</v>
      </c>
      <c r="P236" s="86">
        <f t="shared" si="687"/>
        <v>0</v>
      </c>
      <c r="Q236" s="86">
        <f t="shared" si="687"/>
        <v>0</v>
      </c>
      <c r="R236" s="86">
        <f t="shared" si="687"/>
        <v>0</v>
      </c>
      <c r="S236" s="86">
        <f t="shared" si="687"/>
        <v>0</v>
      </c>
      <c r="T236" s="86">
        <f t="shared" si="687"/>
        <v>0</v>
      </c>
      <c r="U236" s="86">
        <f t="shared" si="687"/>
        <v>0</v>
      </c>
      <c r="V236" s="86">
        <f t="shared" si="687"/>
        <v>0</v>
      </c>
      <c r="W236" s="86">
        <f t="shared" si="687"/>
        <v>0</v>
      </c>
      <c r="X236" s="86">
        <f t="shared" si="687"/>
        <v>0</v>
      </c>
      <c r="Y236" s="86">
        <f t="shared" si="687"/>
        <v>0</v>
      </c>
      <c r="Z236" s="86">
        <f t="shared" si="687"/>
        <v>0</v>
      </c>
      <c r="AA236" s="86">
        <f t="shared" si="687"/>
        <v>0</v>
      </c>
      <c r="AB236" s="86">
        <f t="shared" si="687"/>
        <v>0</v>
      </c>
      <c r="AC236" s="86">
        <f t="shared" ref="AC236" si="688">SUM(AC234:AC235)</f>
        <v>0</v>
      </c>
      <c r="AD236" s="86">
        <f>SUM(AD234:AD235)</f>
        <v>0</v>
      </c>
      <c r="AE236" s="86">
        <f>SUM(AE234:AE235)</f>
        <v>0</v>
      </c>
      <c r="AF236" s="86">
        <f t="shared" ref="AF236" si="689">SUM(AF234:AF235)</f>
        <v>0</v>
      </c>
      <c r="AG236" s="86">
        <f t="shared" ref="AG236" si="690">SUM(AG234:AG235)</f>
        <v>0</v>
      </c>
      <c r="AH236" s="86">
        <f>SUM(AH234:AH235)</f>
        <v>0</v>
      </c>
      <c r="AI236" s="86">
        <f>SUM(AI234:AI235)</f>
        <v>0</v>
      </c>
      <c r="AJ236" s="86">
        <f t="shared" ref="AJ236" si="691">SUM(AJ234:AJ235)</f>
        <v>0</v>
      </c>
      <c r="AK236" s="86">
        <f t="shared" ref="AK236:AU236" si="692">SUM(AK234:AK235)</f>
        <v>0</v>
      </c>
      <c r="AL236" s="86">
        <f t="shared" si="692"/>
        <v>0</v>
      </c>
      <c r="AM236" s="86">
        <f t="shared" si="692"/>
        <v>0</v>
      </c>
      <c r="AN236" s="86">
        <f t="shared" si="692"/>
        <v>0</v>
      </c>
      <c r="AO236" s="86">
        <f t="shared" si="692"/>
        <v>0</v>
      </c>
      <c r="AP236" s="86">
        <f t="shared" si="692"/>
        <v>0</v>
      </c>
      <c r="AQ236" s="86">
        <f t="shared" si="692"/>
        <v>0</v>
      </c>
      <c r="AR236" s="86">
        <f t="shared" si="692"/>
        <v>0</v>
      </c>
      <c r="AS236" s="86">
        <f t="shared" si="692"/>
        <v>0</v>
      </c>
      <c r="AT236" s="86">
        <f t="shared" si="692"/>
        <v>0</v>
      </c>
      <c r="AU236" s="86">
        <f t="shared" si="692"/>
        <v>0</v>
      </c>
      <c r="AV236" s="86">
        <f>SUM(AV234:AV235)</f>
        <v>0</v>
      </c>
      <c r="AW236" s="86">
        <f>SUM(AW234:AW235)</f>
        <v>0</v>
      </c>
      <c r="AX236" s="86">
        <f t="shared" si="685"/>
        <v>0</v>
      </c>
      <c r="AY236" s="86">
        <f t="shared" si="685"/>
        <v>0</v>
      </c>
      <c r="AZ236" s="86">
        <f t="shared" si="685"/>
        <v>0</v>
      </c>
      <c r="BA236" s="86">
        <f t="shared" si="685"/>
        <v>0</v>
      </c>
      <c r="BB236" s="86">
        <f t="shared" si="685"/>
        <v>0</v>
      </c>
      <c r="BC236" s="86">
        <f t="shared" si="685"/>
        <v>0</v>
      </c>
      <c r="BD236" s="86">
        <f t="shared" si="685"/>
        <v>0</v>
      </c>
      <c r="BE236" s="86">
        <f t="shared" si="685"/>
        <v>0</v>
      </c>
      <c r="BF236" s="86">
        <f>SUM(BF234:BF235)</f>
        <v>0</v>
      </c>
    </row>
    <row r="237" spans="1:58" ht="14.1" customHeight="1">
      <c r="A237" s="412">
        <f t="shared" si="619"/>
        <v>231</v>
      </c>
      <c r="B237" s="25"/>
      <c r="C237" s="25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</row>
    <row r="238" spans="1:58" ht="14.1" customHeight="1">
      <c r="A238" s="412">
        <f t="shared" si="619"/>
        <v>232</v>
      </c>
      <c r="B238" s="25"/>
      <c r="C238" s="25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</row>
    <row r="239" spans="1:58" ht="14.1" customHeight="1">
      <c r="A239" s="412">
        <f t="shared" si="619"/>
        <v>233</v>
      </c>
      <c r="B239" s="13" t="s">
        <v>160</v>
      </c>
      <c r="C239" s="13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</row>
    <row r="240" spans="1:58" s="18" customFormat="1" ht="14.1" customHeight="1">
      <c r="A240" s="412">
        <f t="shared" si="619"/>
        <v>234</v>
      </c>
      <c r="B240" s="22" t="s">
        <v>161</v>
      </c>
      <c r="C240" s="38">
        <f t="shared" ref="C240:C245" si="693">SUM(D240:BF240)</f>
        <v>111131327</v>
      </c>
      <c r="D240" s="10">
        <v>0</v>
      </c>
      <c r="E240" s="10">
        <v>0</v>
      </c>
      <c r="F240" s="10">
        <v>0</v>
      </c>
      <c r="G240" s="10">
        <v>29690336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  <c r="AF240" s="10">
        <v>0</v>
      </c>
      <c r="AG240" s="10">
        <v>0</v>
      </c>
      <c r="AH240" s="10">
        <v>0</v>
      </c>
      <c r="AI240" s="10">
        <v>0</v>
      </c>
      <c r="AJ240" s="10">
        <v>0</v>
      </c>
      <c r="AK240" s="10">
        <v>0</v>
      </c>
      <c r="AL240" s="10">
        <v>0</v>
      </c>
      <c r="AM240" s="10">
        <v>0</v>
      </c>
      <c r="AN240" s="10">
        <v>0</v>
      </c>
      <c r="AO240" s="10">
        <v>0</v>
      </c>
      <c r="AP240" s="10">
        <v>0</v>
      </c>
      <c r="AQ240" s="10">
        <v>0</v>
      </c>
      <c r="AR240" s="10">
        <v>0</v>
      </c>
      <c r="AS240" s="10">
        <v>0</v>
      </c>
      <c r="AT240" s="10">
        <v>0</v>
      </c>
      <c r="AU240" s="10">
        <v>0</v>
      </c>
      <c r="AV240" s="10">
        <v>0</v>
      </c>
      <c r="AW240" s="10">
        <v>81440991</v>
      </c>
      <c r="AX240" s="10">
        <v>0</v>
      </c>
      <c r="AY240" s="10">
        <v>0</v>
      </c>
      <c r="AZ240" s="10">
        <v>0</v>
      </c>
      <c r="BA240" s="10">
        <v>0</v>
      </c>
      <c r="BB240" s="10">
        <v>0</v>
      </c>
      <c r="BC240" s="10">
        <v>0</v>
      </c>
      <c r="BD240" s="10">
        <v>0</v>
      </c>
      <c r="BE240" s="10">
        <v>0</v>
      </c>
      <c r="BF240" s="10">
        <v>0</v>
      </c>
    </row>
    <row r="241" spans="1:58" s="18" customFormat="1" ht="14.1" customHeight="1">
      <c r="A241" s="412">
        <f t="shared" si="619"/>
        <v>235</v>
      </c>
      <c r="B241" s="22" t="s">
        <v>162</v>
      </c>
      <c r="C241" s="38">
        <f t="shared" si="693"/>
        <v>0</v>
      </c>
      <c r="D241" s="10">
        <v>0</v>
      </c>
      <c r="E241" s="10">
        <v>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v>0</v>
      </c>
      <c r="AV241" s="10">
        <v>0</v>
      </c>
      <c r="AW241" s="10">
        <v>0</v>
      </c>
      <c r="AX241" s="10">
        <v>0</v>
      </c>
      <c r="AY241" s="10">
        <v>0</v>
      </c>
      <c r="AZ241" s="10">
        <v>0</v>
      </c>
      <c r="BA241" s="10">
        <v>0</v>
      </c>
      <c r="BB241" s="10">
        <v>0</v>
      </c>
      <c r="BC241" s="10">
        <v>0</v>
      </c>
      <c r="BD241" s="10">
        <v>0</v>
      </c>
      <c r="BE241" s="10">
        <v>0</v>
      </c>
      <c r="BF241" s="10">
        <v>0</v>
      </c>
    </row>
    <row r="242" spans="1:58" s="18" customFormat="1" ht="14.1" customHeight="1">
      <c r="A242" s="412">
        <f t="shared" si="619"/>
        <v>236</v>
      </c>
      <c r="B242" s="22" t="s">
        <v>163</v>
      </c>
      <c r="C242" s="38">
        <f t="shared" si="693"/>
        <v>0</v>
      </c>
      <c r="D242" s="10">
        <v>0</v>
      </c>
      <c r="E242" s="10">
        <v>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10">
        <v>0</v>
      </c>
      <c r="AG242" s="10">
        <v>0</v>
      </c>
      <c r="AH242" s="10">
        <v>0</v>
      </c>
      <c r="AI242" s="10">
        <v>0</v>
      </c>
      <c r="AJ242" s="10">
        <v>0</v>
      </c>
      <c r="AK242" s="10">
        <v>0</v>
      </c>
      <c r="AL242" s="10">
        <v>0</v>
      </c>
      <c r="AM242" s="10">
        <v>0</v>
      </c>
      <c r="AN242" s="10">
        <v>0</v>
      </c>
      <c r="AO242" s="10">
        <v>0</v>
      </c>
      <c r="AP242" s="10">
        <v>0</v>
      </c>
      <c r="AQ242" s="10">
        <v>0</v>
      </c>
      <c r="AR242" s="10">
        <v>0</v>
      </c>
      <c r="AS242" s="10">
        <v>0</v>
      </c>
      <c r="AT242" s="10">
        <v>0</v>
      </c>
      <c r="AU242" s="10">
        <v>0</v>
      </c>
      <c r="AV242" s="10">
        <v>0</v>
      </c>
      <c r="AW242" s="10">
        <v>0</v>
      </c>
      <c r="AX242" s="10">
        <v>0</v>
      </c>
      <c r="AY242" s="10">
        <v>0</v>
      </c>
      <c r="AZ242" s="10">
        <v>0</v>
      </c>
      <c r="BA242" s="10">
        <v>0</v>
      </c>
      <c r="BB242" s="10">
        <v>0</v>
      </c>
      <c r="BC242" s="10">
        <v>0</v>
      </c>
      <c r="BD242" s="10">
        <v>0</v>
      </c>
      <c r="BE242" s="10">
        <v>0</v>
      </c>
      <c r="BF242" s="10">
        <v>0</v>
      </c>
    </row>
    <row r="243" spans="1:58" s="18" customFormat="1" ht="14.1" customHeight="1">
      <c r="A243" s="412">
        <f t="shared" si="619"/>
        <v>237</v>
      </c>
      <c r="B243" s="22" t="s">
        <v>376</v>
      </c>
      <c r="C243" s="38">
        <f t="shared" si="693"/>
        <v>0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v>0</v>
      </c>
      <c r="AV243" s="10">
        <v>0</v>
      </c>
      <c r="AW243" s="10">
        <v>0</v>
      </c>
      <c r="AX243" s="10">
        <v>0</v>
      </c>
      <c r="AY243" s="10">
        <v>0</v>
      </c>
      <c r="AZ243" s="10">
        <v>0</v>
      </c>
      <c r="BA243" s="10">
        <v>0</v>
      </c>
      <c r="BB243" s="10">
        <v>0</v>
      </c>
      <c r="BC243" s="10">
        <v>0</v>
      </c>
      <c r="BD243" s="10">
        <v>0</v>
      </c>
      <c r="BE243" s="10">
        <v>0</v>
      </c>
      <c r="BF243" s="10">
        <v>0</v>
      </c>
    </row>
    <row r="244" spans="1:58" ht="14.1" customHeight="1">
      <c r="A244" s="412">
        <f t="shared" si="619"/>
        <v>238</v>
      </c>
      <c r="B244" s="22" t="s">
        <v>164</v>
      </c>
      <c r="C244" s="38">
        <f t="shared" si="693"/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10">
        <v>0</v>
      </c>
      <c r="AG244" s="10">
        <v>0</v>
      </c>
      <c r="AH244" s="10">
        <v>0</v>
      </c>
      <c r="AI244" s="10">
        <v>0</v>
      </c>
      <c r="AJ244" s="10">
        <v>0</v>
      </c>
      <c r="AK244" s="10">
        <v>0</v>
      </c>
      <c r="AL244" s="10">
        <v>0</v>
      </c>
      <c r="AM244" s="10">
        <v>0</v>
      </c>
      <c r="AN244" s="10">
        <v>0</v>
      </c>
      <c r="AO244" s="10">
        <v>0</v>
      </c>
      <c r="AP244" s="10">
        <v>0</v>
      </c>
      <c r="AQ244" s="10">
        <v>0</v>
      </c>
      <c r="AR244" s="10">
        <v>0</v>
      </c>
      <c r="AS244" s="10">
        <v>0</v>
      </c>
      <c r="AT244" s="10">
        <v>0</v>
      </c>
      <c r="AU244" s="10">
        <v>0</v>
      </c>
      <c r="AV244" s="10">
        <v>0</v>
      </c>
      <c r="AW244" s="10">
        <v>0</v>
      </c>
      <c r="AX244" s="10">
        <v>0</v>
      </c>
      <c r="AY244" s="10">
        <v>0</v>
      </c>
      <c r="AZ244" s="10">
        <v>0</v>
      </c>
      <c r="BA244" s="10">
        <v>0</v>
      </c>
      <c r="BB244" s="10">
        <v>0</v>
      </c>
      <c r="BC244" s="10">
        <v>0</v>
      </c>
      <c r="BD244" s="10">
        <v>0</v>
      </c>
      <c r="BE244" s="10">
        <v>0</v>
      </c>
      <c r="BF244" s="10">
        <v>0</v>
      </c>
    </row>
    <row r="245" spans="1:58" ht="14.1" customHeight="1">
      <c r="A245" s="412">
        <f t="shared" si="619"/>
        <v>239</v>
      </c>
      <c r="B245" s="56" t="s">
        <v>165</v>
      </c>
      <c r="C245" s="38">
        <f t="shared" si="693"/>
        <v>0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v>0</v>
      </c>
      <c r="AV245" s="10">
        <v>0</v>
      </c>
      <c r="AW245" s="10">
        <v>0</v>
      </c>
      <c r="AX245" s="10">
        <v>0</v>
      </c>
      <c r="AY245" s="10">
        <v>0</v>
      </c>
      <c r="AZ245" s="10">
        <v>0</v>
      </c>
      <c r="BA245" s="10">
        <v>0</v>
      </c>
      <c r="BB245" s="10">
        <v>0</v>
      </c>
      <c r="BC245" s="10">
        <v>0</v>
      </c>
      <c r="BD245" s="10">
        <v>0</v>
      </c>
      <c r="BE245" s="10">
        <v>0</v>
      </c>
      <c r="BF245" s="10">
        <v>0</v>
      </c>
    </row>
    <row r="246" spans="1:58" ht="14.1" customHeight="1">
      <c r="A246" s="412">
        <f t="shared" si="619"/>
        <v>240</v>
      </c>
      <c r="B246" s="91" t="s">
        <v>166</v>
      </c>
      <c r="C246" s="86">
        <f>SUM(C240:C245)</f>
        <v>111131327</v>
      </c>
      <c r="D246" s="86">
        <f>SUM(D240:D245)</f>
        <v>0</v>
      </c>
      <c r="E246" s="86">
        <f>SUM(E240:E245)</f>
        <v>0</v>
      </c>
      <c r="F246" s="86">
        <f t="shared" ref="F246" si="694">SUM(F240:F245)</f>
        <v>0</v>
      </c>
      <c r="G246" s="86">
        <f t="shared" ref="G246" si="695">SUM(G240:G245)</f>
        <v>29690336</v>
      </c>
      <c r="H246" s="86">
        <f t="shared" ref="H246:BE246" si="696">SUM(H240:H245)</f>
        <v>0</v>
      </c>
      <c r="I246" s="86">
        <f>SUM(I240:I245)</f>
        <v>0</v>
      </c>
      <c r="J246" s="86">
        <f>SUM(J240:J245)</f>
        <v>0</v>
      </c>
      <c r="K246" s="86">
        <f>SUM(K240:K245)</f>
        <v>0</v>
      </c>
      <c r="L246" s="86">
        <f t="shared" ref="L246" si="697">SUM(L240:L245)</f>
        <v>0</v>
      </c>
      <c r="M246" s="86">
        <f t="shared" ref="M246:AB246" si="698">SUM(M240:M245)</f>
        <v>0</v>
      </c>
      <c r="N246" s="86">
        <f t="shared" si="698"/>
        <v>0</v>
      </c>
      <c r="O246" s="86">
        <f t="shared" si="698"/>
        <v>0</v>
      </c>
      <c r="P246" s="86">
        <f t="shared" si="698"/>
        <v>0</v>
      </c>
      <c r="Q246" s="86">
        <f t="shared" si="698"/>
        <v>0</v>
      </c>
      <c r="R246" s="86">
        <f t="shared" si="698"/>
        <v>0</v>
      </c>
      <c r="S246" s="86">
        <f t="shared" si="698"/>
        <v>0</v>
      </c>
      <c r="T246" s="86">
        <f t="shared" si="698"/>
        <v>0</v>
      </c>
      <c r="U246" s="86">
        <f t="shared" si="698"/>
        <v>0</v>
      </c>
      <c r="V246" s="86">
        <f t="shared" si="698"/>
        <v>0</v>
      </c>
      <c r="W246" s="86">
        <f t="shared" si="698"/>
        <v>0</v>
      </c>
      <c r="X246" s="86">
        <f t="shared" si="698"/>
        <v>0</v>
      </c>
      <c r="Y246" s="86">
        <f t="shared" si="698"/>
        <v>0</v>
      </c>
      <c r="Z246" s="86">
        <f t="shared" si="698"/>
        <v>0</v>
      </c>
      <c r="AA246" s="86">
        <f t="shared" si="698"/>
        <v>0</v>
      </c>
      <c r="AB246" s="86">
        <f t="shared" si="698"/>
        <v>0</v>
      </c>
      <c r="AC246" s="86">
        <f t="shared" ref="AC246" si="699">SUM(AC240:AC245)</f>
        <v>0</v>
      </c>
      <c r="AD246" s="86">
        <f>SUM(AD240:AD245)</f>
        <v>0</v>
      </c>
      <c r="AE246" s="86">
        <f>SUM(AE240:AE245)</f>
        <v>0</v>
      </c>
      <c r="AF246" s="86">
        <f t="shared" ref="AF246" si="700">SUM(AF240:AF245)</f>
        <v>0</v>
      </c>
      <c r="AG246" s="86">
        <f t="shared" ref="AG246" si="701">SUM(AG240:AG245)</f>
        <v>0</v>
      </c>
      <c r="AH246" s="86">
        <f>SUM(AH240:AH245)</f>
        <v>0</v>
      </c>
      <c r="AI246" s="86">
        <f>SUM(AI240:AI245)</f>
        <v>0</v>
      </c>
      <c r="AJ246" s="86">
        <f t="shared" ref="AJ246" si="702">SUM(AJ240:AJ245)</f>
        <v>0</v>
      </c>
      <c r="AK246" s="86">
        <f t="shared" ref="AK246:AU246" si="703">SUM(AK240:AK245)</f>
        <v>0</v>
      </c>
      <c r="AL246" s="86">
        <f t="shared" si="703"/>
        <v>0</v>
      </c>
      <c r="AM246" s="86">
        <f t="shared" si="703"/>
        <v>0</v>
      </c>
      <c r="AN246" s="86">
        <f t="shared" si="703"/>
        <v>0</v>
      </c>
      <c r="AO246" s="86">
        <f t="shared" si="703"/>
        <v>0</v>
      </c>
      <c r="AP246" s="86">
        <f t="shared" si="703"/>
        <v>0</v>
      </c>
      <c r="AQ246" s="86">
        <f t="shared" si="703"/>
        <v>0</v>
      </c>
      <c r="AR246" s="86">
        <f t="shared" si="703"/>
        <v>0</v>
      </c>
      <c r="AS246" s="86">
        <f t="shared" si="703"/>
        <v>0</v>
      </c>
      <c r="AT246" s="86">
        <f t="shared" si="703"/>
        <v>0</v>
      </c>
      <c r="AU246" s="86">
        <f t="shared" si="703"/>
        <v>0</v>
      </c>
      <c r="AV246" s="86">
        <f>SUM(AV240:AV245)</f>
        <v>0</v>
      </c>
      <c r="AW246" s="86">
        <f>SUM(AW240:AW245)</f>
        <v>81440991</v>
      </c>
      <c r="AX246" s="86">
        <f t="shared" si="696"/>
        <v>0</v>
      </c>
      <c r="AY246" s="86">
        <f t="shared" si="696"/>
        <v>0</v>
      </c>
      <c r="AZ246" s="86">
        <f t="shared" si="696"/>
        <v>0</v>
      </c>
      <c r="BA246" s="86">
        <f t="shared" si="696"/>
        <v>0</v>
      </c>
      <c r="BB246" s="86">
        <f t="shared" si="696"/>
        <v>0</v>
      </c>
      <c r="BC246" s="86">
        <f t="shared" si="696"/>
        <v>0</v>
      </c>
      <c r="BD246" s="86">
        <f t="shared" si="696"/>
        <v>0</v>
      </c>
      <c r="BE246" s="86">
        <f t="shared" si="696"/>
        <v>0</v>
      </c>
      <c r="BF246" s="86">
        <f>SUM(BF240:BF245)</f>
        <v>0</v>
      </c>
    </row>
    <row r="247" spans="1:58" ht="14.1" customHeight="1">
      <c r="A247" s="412">
        <f t="shared" si="619"/>
        <v>241</v>
      </c>
      <c r="B247" s="52"/>
      <c r="C247" s="156"/>
      <c r="D247" s="156"/>
      <c r="E247" s="156"/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  <c r="Q247" s="156"/>
      <c r="R247" s="156"/>
      <c r="S247" s="156"/>
      <c r="T247" s="156"/>
      <c r="U247" s="156"/>
      <c r="V247" s="156"/>
      <c r="W247" s="156"/>
      <c r="X247" s="156"/>
      <c r="Y247" s="156"/>
      <c r="Z247" s="156"/>
      <c r="AA247" s="156"/>
      <c r="AB247" s="156"/>
      <c r="AC247" s="156"/>
      <c r="AD247" s="156"/>
      <c r="AE247" s="156"/>
      <c r="AF247" s="156"/>
      <c r="AG247" s="156"/>
      <c r="AH247" s="156"/>
      <c r="AI247" s="156"/>
      <c r="AJ247" s="156"/>
      <c r="AK247" s="156"/>
      <c r="AL247" s="156"/>
      <c r="AM247" s="156"/>
      <c r="AN247" s="156"/>
      <c r="AO247" s="156"/>
      <c r="AP247" s="156"/>
      <c r="AQ247" s="156"/>
      <c r="AR247" s="156"/>
      <c r="AS247" s="156"/>
      <c r="AT247" s="156"/>
      <c r="AU247" s="156"/>
      <c r="AV247" s="156"/>
      <c r="AW247" s="156"/>
      <c r="AX247" s="156"/>
      <c r="AY247" s="156"/>
      <c r="AZ247" s="156"/>
      <c r="BA247" s="156"/>
      <c r="BB247" s="156"/>
      <c r="BC247" s="156"/>
      <c r="BD247" s="156"/>
      <c r="BE247" s="156"/>
      <c r="BF247" s="156"/>
    </row>
    <row r="248" spans="1:58" s="3" customFormat="1" ht="14.1" customHeight="1" thickBot="1">
      <c r="A248" s="412">
        <f t="shared" si="619"/>
        <v>242</v>
      </c>
      <c r="B248" s="54" t="s">
        <v>983</v>
      </c>
      <c r="C248" s="93">
        <f>C193+C216+C165+C223+C236+C246+C231</f>
        <v>-127081797</v>
      </c>
      <c r="D248" s="93">
        <f t="shared" ref="D248:BF248" si="704">D193+D216+D165+D223+D236+D246</f>
        <v>0</v>
      </c>
      <c r="E248" s="93">
        <f t="shared" si="704"/>
        <v>0</v>
      </c>
      <c r="F248" s="93">
        <f t="shared" si="704"/>
        <v>0</v>
      </c>
      <c r="G248" s="93">
        <f t="shared" si="704"/>
        <v>-200203485</v>
      </c>
      <c r="H248" s="93">
        <f t="shared" si="704"/>
        <v>0</v>
      </c>
      <c r="I248" s="93">
        <f t="shared" si="704"/>
        <v>0</v>
      </c>
      <c r="J248" s="93">
        <f t="shared" si="704"/>
        <v>0</v>
      </c>
      <c r="K248" s="93">
        <f t="shared" si="704"/>
        <v>0</v>
      </c>
      <c r="L248" s="93">
        <f t="shared" si="704"/>
        <v>0</v>
      </c>
      <c r="M248" s="93">
        <f t="shared" si="704"/>
        <v>0</v>
      </c>
      <c r="N248" s="93">
        <f t="shared" si="704"/>
        <v>0</v>
      </c>
      <c r="O248" s="93">
        <f t="shared" si="704"/>
        <v>0</v>
      </c>
      <c r="P248" s="93">
        <f t="shared" si="704"/>
        <v>0</v>
      </c>
      <c r="Q248" s="93">
        <f t="shared" si="704"/>
        <v>0</v>
      </c>
      <c r="R248" s="93">
        <f t="shared" si="704"/>
        <v>0</v>
      </c>
      <c r="S248" s="93">
        <f t="shared" si="704"/>
        <v>0</v>
      </c>
      <c r="T248" s="93">
        <f t="shared" si="704"/>
        <v>0</v>
      </c>
      <c r="U248" s="93">
        <f t="shared" si="704"/>
        <v>0</v>
      </c>
      <c r="V248" s="93">
        <f t="shared" si="704"/>
        <v>0</v>
      </c>
      <c r="W248" s="93">
        <f t="shared" si="704"/>
        <v>0</v>
      </c>
      <c r="X248" s="93">
        <f t="shared" si="704"/>
        <v>0</v>
      </c>
      <c r="Y248" s="93">
        <f t="shared" si="704"/>
        <v>0</v>
      </c>
      <c r="Z248" s="93">
        <f t="shared" si="704"/>
        <v>0</v>
      </c>
      <c r="AA248" s="93">
        <f t="shared" si="704"/>
        <v>0</v>
      </c>
      <c r="AB248" s="93">
        <f t="shared" si="704"/>
        <v>0</v>
      </c>
      <c r="AC248" s="93">
        <f t="shared" si="704"/>
        <v>0</v>
      </c>
      <c r="AD248" s="93">
        <f t="shared" si="704"/>
        <v>0</v>
      </c>
      <c r="AE248" s="93">
        <f t="shared" si="704"/>
        <v>0</v>
      </c>
      <c r="AF248" s="93">
        <f t="shared" si="704"/>
        <v>0</v>
      </c>
      <c r="AG248" s="93">
        <f t="shared" si="704"/>
        <v>0</v>
      </c>
      <c r="AH248" s="93">
        <f t="shared" si="704"/>
        <v>0</v>
      </c>
      <c r="AI248" s="93">
        <f t="shared" si="704"/>
        <v>0</v>
      </c>
      <c r="AJ248" s="93">
        <f t="shared" si="704"/>
        <v>0</v>
      </c>
      <c r="AK248" s="93">
        <f t="shared" si="704"/>
        <v>0</v>
      </c>
      <c r="AL248" s="93">
        <f t="shared" si="704"/>
        <v>0</v>
      </c>
      <c r="AM248" s="93">
        <f t="shared" si="704"/>
        <v>0</v>
      </c>
      <c r="AN248" s="93">
        <f t="shared" si="704"/>
        <v>0</v>
      </c>
      <c r="AO248" s="93">
        <f t="shared" si="704"/>
        <v>0</v>
      </c>
      <c r="AP248" s="93">
        <f t="shared" si="704"/>
        <v>0</v>
      </c>
      <c r="AQ248" s="93">
        <f t="shared" si="704"/>
        <v>0</v>
      </c>
      <c r="AR248" s="93">
        <f t="shared" si="704"/>
        <v>0</v>
      </c>
      <c r="AS248" s="93">
        <f t="shared" si="704"/>
        <v>0</v>
      </c>
      <c r="AT248" s="93">
        <f t="shared" si="704"/>
        <v>0</v>
      </c>
      <c r="AU248" s="93">
        <f t="shared" si="704"/>
        <v>0</v>
      </c>
      <c r="AV248" s="93">
        <f t="shared" si="704"/>
        <v>0</v>
      </c>
      <c r="AW248" s="93">
        <f t="shared" si="704"/>
        <v>81440991</v>
      </c>
      <c r="AX248" s="93">
        <f t="shared" si="704"/>
        <v>0</v>
      </c>
      <c r="AY248" s="93">
        <f t="shared" si="704"/>
        <v>0</v>
      </c>
      <c r="AZ248" s="93">
        <f t="shared" si="704"/>
        <v>0</v>
      </c>
      <c r="BA248" s="93">
        <f t="shared" si="704"/>
        <v>0</v>
      </c>
      <c r="BB248" s="93">
        <f t="shared" si="704"/>
        <v>0</v>
      </c>
      <c r="BC248" s="93">
        <f t="shared" si="704"/>
        <v>0</v>
      </c>
      <c r="BD248" s="93">
        <f t="shared" si="704"/>
        <v>0</v>
      </c>
      <c r="BE248" s="93">
        <f t="shared" si="704"/>
        <v>0</v>
      </c>
      <c r="BF248" s="93">
        <f t="shared" si="704"/>
        <v>0</v>
      </c>
    </row>
    <row r="249" spans="1:58" ht="14.1" customHeight="1" thickTop="1">
      <c r="A249" s="412">
        <f t="shared" si="619"/>
        <v>243</v>
      </c>
      <c r="B249" s="65"/>
      <c r="C249" s="65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</row>
    <row r="250" spans="1:58" ht="14.1" customHeight="1">
      <c r="A250" s="412">
        <f t="shared" si="619"/>
        <v>244</v>
      </c>
      <c r="B250" s="22"/>
      <c r="C250" s="22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</row>
    <row r="251" spans="1:58" ht="14.1" customHeight="1">
      <c r="A251" s="412">
        <f t="shared" si="619"/>
        <v>245</v>
      </c>
      <c r="B251" s="134" t="s">
        <v>319</v>
      </c>
      <c r="C251" s="38">
        <f>SUM(D251:BF251)</f>
        <v>-54616175.950000003</v>
      </c>
      <c r="D251" s="10">
        <v>-6396832</v>
      </c>
      <c r="E251" s="10">
        <v>-16524933</v>
      </c>
      <c r="F251" s="10">
        <v>0</v>
      </c>
      <c r="G251" s="10">
        <v>0</v>
      </c>
      <c r="H251" s="10">
        <v>-38428928</v>
      </c>
      <c r="I251" s="10">
        <v>0</v>
      </c>
      <c r="J251" s="10">
        <v>4574472</v>
      </c>
      <c r="K251" s="10">
        <v>-5313052</v>
      </c>
      <c r="L251" s="10">
        <v>0</v>
      </c>
      <c r="M251" s="10">
        <v>0</v>
      </c>
      <c r="N251" s="10">
        <v>-246772</v>
      </c>
      <c r="O251" s="10">
        <v>-303011</v>
      </c>
      <c r="P251" s="10">
        <v>1025522.14</v>
      </c>
      <c r="Q251" s="10">
        <v>-3265666.33</v>
      </c>
      <c r="R251" s="436">
        <f>9925612.33+400000</f>
        <v>10325612.33</v>
      </c>
      <c r="S251" s="10">
        <v>0</v>
      </c>
      <c r="T251" s="10">
        <v>0</v>
      </c>
      <c r="U251" s="10">
        <v>0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v>0</v>
      </c>
      <c r="AV251" s="10">
        <v>0</v>
      </c>
      <c r="AW251" s="10">
        <v>0</v>
      </c>
      <c r="AX251" s="10">
        <v>-62588.09</v>
      </c>
      <c r="AY251" s="10">
        <v>0</v>
      </c>
      <c r="AZ251" s="10">
        <v>0</v>
      </c>
      <c r="BA251" s="10">
        <v>0</v>
      </c>
      <c r="BB251" s="10">
        <v>0</v>
      </c>
      <c r="BC251" s="10">
        <v>0</v>
      </c>
      <c r="BD251" s="10">
        <v>0</v>
      </c>
      <c r="BE251" s="10">
        <v>0</v>
      </c>
      <c r="BF251" s="10">
        <v>0</v>
      </c>
    </row>
    <row r="252" spans="1:58" ht="14.1" customHeight="1">
      <c r="A252" s="412">
        <f t="shared" si="619"/>
        <v>246</v>
      </c>
      <c r="B252" s="134" t="s">
        <v>368</v>
      </c>
      <c r="C252" s="38">
        <f>SUM(D252:BF252)</f>
        <v>0</v>
      </c>
      <c r="D252" s="10">
        <v>0</v>
      </c>
      <c r="E252" s="10">
        <v>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10">
        <v>0</v>
      </c>
      <c r="N252" s="10">
        <v>0</v>
      </c>
      <c r="O252" s="10">
        <v>0</v>
      </c>
      <c r="P252" s="10">
        <v>0</v>
      </c>
      <c r="Q252" s="10">
        <v>0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>
        <v>0</v>
      </c>
      <c r="X252" s="10">
        <v>0</v>
      </c>
      <c r="Y252" s="10">
        <v>0</v>
      </c>
      <c r="Z252" s="10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  <c r="AF252" s="10">
        <v>0</v>
      </c>
      <c r="AG252" s="10">
        <v>0</v>
      </c>
      <c r="AH252" s="10">
        <v>0</v>
      </c>
      <c r="AI252" s="10">
        <v>0</v>
      </c>
      <c r="AJ252" s="10">
        <v>0</v>
      </c>
      <c r="AK252" s="10">
        <v>0</v>
      </c>
      <c r="AL252" s="10">
        <v>0</v>
      </c>
      <c r="AM252" s="10">
        <v>0</v>
      </c>
      <c r="AN252" s="10">
        <v>0</v>
      </c>
      <c r="AO252" s="10">
        <v>0</v>
      </c>
      <c r="AP252" s="10">
        <v>0</v>
      </c>
      <c r="AQ252" s="10">
        <v>0</v>
      </c>
      <c r="AR252" s="10">
        <v>0</v>
      </c>
      <c r="AS252" s="10">
        <v>0</v>
      </c>
      <c r="AT252" s="10">
        <v>0</v>
      </c>
      <c r="AU252" s="10">
        <v>0</v>
      </c>
      <c r="AV252" s="10">
        <v>0</v>
      </c>
      <c r="AW252" s="10">
        <v>0</v>
      </c>
      <c r="AX252" s="10">
        <v>0</v>
      </c>
      <c r="AY252" s="10">
        <v>0</v>
      </c>
      <c r="AZ252" s="10">
        <v>0</v>
      </c>
      <c r="BA252" s="10">
        <v>0</v>
      </c>
      <c r="BB252" s="10">
        <v>0</v>
      </c>
      <c r="BC252" s="10">
        <v>0</v>
      </c>
      <c r="BD252" s="10">
        <v>0</v>
      </c>
      <c r="BE252" s="10">
        <v>0</v>
      </c>
      <c r="BF252" s="10">
        <v>0</v>
      </c>
    </row>
    <row r="253" spans="1:58" ht="14.1" customHeight="1">
      <c r="A253" s="412">
        <f t="shared" si="619"/>
        <v>247</v>
      </c>
      <c r="B253" s="134" t="s">
        <v>15</v>
      </c>
      <c r="C253" s="38">
        <f>SUM(D253:BF253)</f>
        <v>0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>
        <v>0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v>0</v>
      </c>
      <c r="AV253" s="10">
        <v>0</v>
      </c>
      <c r="AW253" s="10">
        <v>0</v>
      </c>
      <c r="AX253" s="10">
        <v>0</v>
      </c>
      <c r="AY253" s="10">
        <v>0</v>
      </c>
      <c r="AZ253" s="10">
        <v>0</v>
      </c>
      <c r="BA253" s="10">
        <v>0</v>
      </c>
      <c r="BB253" s="10">
        <v>0</v>
      </c>
      <c r="BC253" s="10">
        <v>0</v>
      </c>
      <c r="BD253" s="10">
        <v>0</v>
      </c>
      <c r="BE253" s="10">
        <v>0</v>
      </c>
      <c r="BF253" s="10">
        <v>0</v>
      </c>
    </row>
    <row r="254" spans="1:58" ht="14.1" customHeight="1">
      <c r="A254" s="412">
        <f t="shared" si="619"/>
        <v>248</v>
      </c>
      <c r="B254" s="134"/>
      <c r="C254" s="134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</row>
    <row r="255" spans="1:58" ht="14.1" customHeight="1">
      <c r="A255" s="412">
        <f t="shared" si="619"/>
        <v>249</v>
      </c>
      <c r="B255" s="3" t="s">
        <v>168</v>
      </c>
      <c r="C255" s="3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</row>
    <row r="256" spans="1:58" ht="14.1" customHeight="1">
      <c r="A256" s="412">
        <f t="shared" si="619"/>
        <v>250</v>
      </c>
      <c r="B256" s="89" t="s">
        <v>169</v>
      </c>
      <c r="C256" s="38">
        <f>SUM(D256:BF256)</f>
        <v>0</v>
      </c>
      <c r="D256" s="10">
        <v>0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0">
        <v>0</v>
      </c>
      <c r="Z256" s="10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  <c r="AF256" s="10">
        <v>0</v>
      </c>
      <c r="AG256" s="10">
        <v>0</v>
      </c>
      <c r="AH256" s="10">
        <v>0</v>
      </c>
      <c r="AI256" s="10">
        <v>0</v>
      </c>
      <c r="AJ256" s="10">
        <v>0</v>
      </c>
      <c r="AK256" s="10">
        <v>0</v>
      </c>
      <c r="AL256" s="10">
        <v>0</v>
      </c>
      <c r="AM256" s="10">
        <v>0</v>
      </c>
      <c r="AN256" s="10">
        <v>0</v>
      </c>
      <c r="AO256" s="10">
        <v>0</v>
      </c>
      <c r="AP256" s="10">
        <v>0</v>
      </c>
      <c r="AQ256" s="10">
        <v>0</v>
      </c>
      <c r="AR256" s="10">
        <v>0</v>
      </c>
      <c r="AS256" s="10">
        <v>0</v>
      </c>
      <c r="AT256" s="10">
        <v>0</v>
      </c>
      <c r="AU256" s="10">
        <v>0</v>
      </c>
      <c r="AV256" s="10">
        <v>0</v>
      </c>
      <c r="AW256" s="10">
        <v>0</v>
      </c>
      <c r="AX256" s="10">
        <v>0</v>
      </c>
      <c r="AY256" s="10">
        <v>0</v>
      </c>
      <c r="AZ256" s="10">
        <v>0</v>
      </c>
      <c r="BA256" s="10">
        <v>0</v>
      </c>
      <c r="BB256" s="10">
        <v>0</v>
      </c>
      <c r="BC256" s="10">
        <v>0</v>
      </c>
      <c r="BD256" s="10">
        <v>0</v>
      </c>
      <c r="BE256" s="10">
        <v>0</v>
      </c>
      <c r="BF256" s="10">
        <v>0</v>
      </c>
    </row>
    <row r="257" spans="1:58" ht="14.1" customHeight="1">
      <c r="A257" s="412">
        <f t="shared" si="619"/>
        <v>251</v>
      </c>
      <c r="B257" s="89" t="s">
        <v>170</v>
      </c>
      <c r="C257" s="38">
        <f>SUM(D257:BF257)</f>
        <v>-3993185.1</v>
      </c>
      <c r="D257" s="10">
        <v>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-3661679</v>
      </c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0</v>
      </c>
      <c r="AB257" s="10">
        <v>-331506.09999999998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v>0</v>
      </c>
      <c r="AU257" s="10">
        <v>0</v>
      </c>
      <c r="AV257" s="10">
        <v>0</v>
      </c>
      <c r="AW257" s="10">
        <v>0</v>
      </c>
      <c r="AX257" s="10">
        <v>0</v>
      </c>
      <c r="AY257" s="10">
        <v>0</v>
      </c>
      <c r="AZ257" s="10">
        <v>0</v>
      </c>
      <c r="BA257" s="10">
        <v>0</v>
      </c>
      <c r="BB257" s="10">
        <v>0</v>
      </c>
      <c r="BC257" s="10">
        <v>0</v>
      </c>
      <c r="BD257" s="10">
        <v>0</v>
      </c>
      <c r="BE257" s="10">
        <v>0</v>
      </c>
      <c r="BF257" s="10">
        <v>0</v>
      </c>
    </row>
    <row r="258" spans="1:58" ht="14.1" customHeight="1">
      <c r="A258" s="412">
        <f t="shared" si="619"/>
        <v>252</v>
      </c>
      <c r="B258" s="56" t="s">
        <v>171</v>
      </c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</row>
    <row r="259" spans="1:58" ht="14.1" customHeight="1">
      <c r="A259" s="412">
        <f t="shared" si="619"/>
        <v>253</v>
      </c>
      <c r="B259" s="20" t="s">
        <v>498</v>
      </c>
      <c r="C259" s="86">
        <f>+C256+C257</f>
        <v>-3993185.1</v>
      </c>
      <c r="D259" s="86">
        <f>+D256+D257</f>
        <v>0</v>
      </c>
      <c r="E259" s="86">
        <f>+E256+E257</f>
        <v>0</v>
      </c>
      <c r="F259" s="86">
        <f t="shared" ref="F259" si="705">+F256+F257</f>
        <v>0</v>
      </c>
      <c r="G259" s="86">
        <f t="shared" ref="G259" si="706">+G256+G257</f>
        <v>0</v>
      </c>
      <c r="H259" s="86">
        <f t="shared" ref="H259:BE259" si="707">+H256+H257</f>
        <v>0</v>
      </c>
      <c r="I259" s="86">
        <f>+I256+I257</f>
        <v>0</v>
      </c>
      <c r="J259" s="86">
        <f>+J256+J257</f>
        <v>0</v>
      </c>
      <c r="K259" s="86">
        <f>+K256+K257</f>
        <v>-3661679</v>
      </c>
      <c r="L259" s="86">
        <f t="shared" ref="L259" si="708">+L256+L257</f>
        <v>0</v>
      </c>
      <c r="M259" s="86">
        <f t="shared" ref="M259:AB259" si="709">+M256+M257</f>
        <v>0</v>
      </c>
      <c r="N259" s="86">
        <f t="shared" si="709"/>
        <v>0</v>
      </c>
      <c r="O259" s="86">
        <f t="shared" si="709"/>
        <v>0</v>
      </c>
      <c r="P259" s="86">
        <f t="shared" si="709"/>
        <v>0</v>
      </c>
      <c r="Q259" s="86">
        <f t="shared" si="709"/>
        <v>0</v>
      </c>
      <c r="R259" s="86">
        <f t="shared" si="709"/>
        <v>0</v>
      </c>
      <c r="S259" s="86">
        <f t="shared" si="709"/>
        <v>0</v>
      </c>
      <c r="T259" s="86">
        <f t="shared" si="709"/>
        <v>0</v>
      </c>
      <c r="U259" s="86">
        <f t="shared" si="709"/>
        <v>0</v>
      </c>
      <c r="V259" s="86">
        <f t="shared" si="709"/>
        <v>0</v>
      </c>
      <c r="W259" s="86">
        <f t="shared" si="709"/>
        <v>0</v>
      </c>
      <c r="X259" s="86">
        <f t="shared" si="709"/>
        <v>0</v>
      </c>
      <c r="Y259" s="86">
        <f t="shared" si="709"/>
        <v>0</v>
      </c>
      <c r="Z259" s="86">
        <f t="shared" si="709"/>
        <v>0</v>
      </c>
      <c r="AA259" s="86">
        <f t="shared" si="709"/>
        <v>0</v>
      </c>
      <c r="AB259" s="86">
        <f t="shared" si="709"/>
        <v>-331506.09999999998</v>
      </c>
      <c r="AC259" s="86">
        <f t="shared" ref="AC259" si="710">+AC256+AC257</f>
        <v>0</v>
      </c>
      <c r="AD259" s="86">
        <f>+AD256+AD257</f>
        <v>0</v>
      </c>
      <c r="AE259" s="86">
        <f>+AE256+AE257</f>
        <v>0</v>
      </c>
      <c r="AF259" s="86">
        <f t="shared" ref="AF259" si="711">+AF256+AF257</f>
        <v>0</v>
      </c>
      <c r="AG259" s="86">
        <f t="shared" ref="AG259" si="712">+AG256+AG257</f>
        <v>0</v>
      </c>
      <c r="AH259" s="86">
        <f>+AH256+AH257</f>
        <v>0</v>
      </c>
      <c r="AI259" s="86">
        <f>+AI256+AI257</f>
        <v>0</v>
      </c>
      <c r="AJ259" s="86">
        <f t="shared" ref="AJ259" si="713">+AJ256+AJ257</f>
        <v>0</v>
      </c>
      <c r="AK259" s="86">
        <f t="shared" ref="AK259:AU259" si="714">+AK256+AK257</f>
        <v>0</v>
      </c>
      <c r="AL259" s="86">
        <f t="shared" si="714"/>
        <v>0</v>
      </c>
      <c r="AM259" s="86">
        <f t="shared" si="714"/>
        <v>0</v>
      </c>
      <c r="AN259" s="86">
        <f t="shared" si="714"/>
        <v>0</v>
      </c>
      <c r="AO259" s="86">
        <f t="shared" si="714"/>
        <v>0</v>
      </c>
      <c r="AP259" s="86">
        <f t="shared" si="714"/>
        <v>0</v>
      </c>
      <c r="AQ259" s="86">
        <f t="shared" si="714"/>
        <v>0</v>
      </c>
      <c r="AR259" s="86">
        <f t="shared" si="714"/>
        <v>0</v>
      </c>
      <c r="AS259" s="86">
        <f t="shared" si="714"/>
        <v>0</v>
      </c>
      <c r="AT259" s="86">
        <f t="shared" si="714"/>
        <v>0</v>
      </c>
      <c r="AU259" s="86">
        <f t="shared" si="714"/>
        <v>0</v>
      </c>
      <c r="AV259" s="86">
        <f>+AV256+AV257</f>
        <v>0</v>
      </c>
      <c r="AW259" s="86">
        <f>+AW256+AW257</f>
        <v>0</v>
      </c>
      <c r="AX259" s="86">
        <f t="shared" si="707"/>
        <v>0</v>
      </c>
      <c r="AY259" s="86">
        <f t="shared" si="707"/>
        <v>0</v>
      </c>
      <c r="AZ259" s="86">
        <f t="shared" si="707"/>
        <v>0</v>
      </c>
      <c r="BA259" s="86">
        <f t="shared" si="707"/>
        <v>0</v>
      </c>
      <c r="BB259" s="86">
        <f t="shared" si="707"/>
        <v>0</v>
      </c>
      <c r="BC259" s="86">
        <f t="shared" si="707"/>
        <v>0</v>
      </c>
      <c r="BD259" s="86">
        <f t="shared" si="707"/>
        <v>0</v>
      </c>
      <c r="BE259" s="86">
        <f t="shared" si="707"/>
        <v>0</v>
      </c>
      <c r="BF259" s="86">
        <f>+BF256+BF257</f>
        <v>0</v>
      </c>
    </row>
    <row r="260" spans="1:58" ht="14.1" customHeight="1">
      <c r="A260" s="412">
        <f t="shared" si="619"/>
        <v>254</v>
      </c>
      <c r="B260" s="134"/>
      <c r="C260" s="134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</row>
    <row r="261" spans="1:58" ht="14.1" customHeight="1">
      <c r="A261" s="412">
        <f t="shared" si="619"/>
        <v>255</v>
      </c>
      <c r="B261" s="13" t="s">
        <v>172</v>
      </c>
      <c r="C261" s="13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</row>
    <row r="262" spans="1:58" ht="14.1" customHeight="1">
      <c r="A262" s="412">
        <f t="shared" si="619"/>
        <v>256</v>
      </c>
      <c r="B262" s="22" t="s">
        <v>173</v>
      </c>
      <c r="C262" s="38">
        <f>SUM(D262:BF262)</f>
        <v>0</v>
      </c>
      <c r="D262" s="10">
        <v>0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10">
        <v>0</v>
      </c>
      <c r="N262" s="10">
        <v>0</v>
      </c>
      <c r="O262" s="10">
        <v>0</v>
      </c>
      <c r="P262" s="10">
        <v>0</v>
      </c>
      <c r="Q262" s="10">
        <v>0</v>
      </c>
      <c r="R262" s="10">
        <v>0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0</v>
      </c>
      <c r="Y262" s="10">
        <v>0</v>
      </c>
      <c r="Z262" s="10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  <c r="AF262" s="10">
        <v>0</v>
      </c>
      <c r="AG262" s="10">
        <v>0</v>
      </c>
      <c r="AH262" s="10">
        <v>0</v>
      </c>
      <c r="AI262" s="10">
        <v>0</v>
      </c>
      <c r="AJ262" s="10">
        <v>0</v>
      </c>
      <c r="AK262" s="10">
        <v>0</v>
      </c>
      <c r="AL262" s="10">
        <v>0</v>
      </c>
      <c r="AM262" s="10">
        <v>0</v>
      </c>
      <c r="AN262" s="10">
        <v>0</v>
      </c>
      <c r="AO262" s="10">
        <v>0</v>
      </c>
      <c r="AP262" s="10">
        <v>0</v>
      </c>
      <c r="AQ262" s="10">
        <v>0</v>
      </c>
      <c r="AR262" s="10">
        <v>0</v>
      </c>
      <c r="AS262" s="10">
        <v>0</v>
      </c>
      <c r="AT262" s="10">
        <v>0</v>
      </c>
      <c r="AU262" s="10">
        <v>0</v>
      </c>
      <c r="AV262" s="10">
        <v>0</v>
      </c>
      <c r="AW262" s="10">
        <v>0</v>
      </c>
      <c r="AX262" s="10">
        <v>0</v>
      </c>
      <c r="AY262" s="10">
        <v>0</v>
      </c>
      <c r="AZ262" s="10">
        <v>0</v>
      </c>
      <c r="BA262" s="10">
        <v>0</v>
      </c>
      <c r="BB262" s="10">
        <v>0</v>
      </c>
      <c r="BC262" s="10">
        <v>0</v>
      </c>
      <c r="BD262" s="10">
        <v>0</v>
      </c>
      <c r="BE262" s="10">
        <v>0</v>
      </c>
      <c r="BF262" s="10">
        <v>0</v>
      </c>
    </row>
    <row r="263" spans="1:58" ht="14.1" customHeight="1">
      <c r="A263" s="412">
        <f t="shared" si="619"/>
        <v>257</v>
      </c>
      <c r="B263" s="22" t="s">
        <v>174</v>
      </c>
      <c r="C263" s="38">
        <f>SUM(D263:BF263)</f>
        <v>0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0</v>
      </c>
      <c r="T263" s="10">
        <v>0</v>
      </c>
      <c r="U263" s="10">
        <v>0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v>0</v>
      </c>
      <c r="AV263" s="10">
        <v>0</v>
      </c>
      <c r="AW263" s="10">
        <v>0</v>
      </c>
      <c r="AX263" s="10">
        <v>0</v>
      </c>
      <c r="AY263" s="10">
        <v>0</v>
      </c>
      <c r="AZ263" s="10">
        <v>0</v>
      </c>
      <c r="BA263" s="10">
        <v>0</v>
      </c>
      <c r="BB263" s="10">
        <v>0</v>
      </c>
      <c r="BC263" s="10">
        <v>0</v>
      </c>
      <c r="BD263" s="10">
        <v>0</v>
      </c>
      <c r="BE263" s="10">
        <v>0</v>
      </c>
      <c r="BF263" s="10">
        <v>0</v>
      </c>
    </row>
    <row r="264" spans="1:58" ht="14.1" customHeight="1">
      <c r="A264" s="412">
        <f t="shared" si="619"/>
        <v>258</v>
      </c>
      <c r="B264" s="13" t="s">
        <v>175</v>
      </c>
      <c r="C264" s="13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</row>
    <row r="265" spans="1:58" s="21" customFormat="1" ht="14.1" customHeight="1">
      <c r="A265" s="412">
        <f t="shared" si="619"/>
        <v>259</v>
      </c>
      <c r="B265" s="22" t="s">
        <v>176</v>
      </c>
      <c r="C265" s="38">
        <f t="shared" ref="C265:C273" si="715">SUM(D265:BF265)</f>
        <v>0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0</v>
      </c>
      <c r="T265" s="10">
        <v>0</v>
      </c>
      <c r="U265" s="10">
        <v>0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0</v>
      </c>
      <c r="AT265" s="10">
        <v>0</v>
      </c>
      <c r="AU265" s="10">
        <v>0</v>
      </c>
      <c r="AV265" s="10">
        <v>0</v>
      </c>
      <c r="AW265" s="10">
        <v>0</v>
      </c>
      <c r="AX265" s="10">
        <v>0</v>
      </c>
      <c r="AY265" s="10">
        <v>0</v>
      </c>
      <c r="AZ265" s="10">
        <v>0</v>
      </c>
      <c r="BA265" s="10">
        <v>0</v>
      </c>
      <c r="BB265" s="10">
        <v>0</v>
      </c>
      <c r="BC265" s="10">
        <v>0</v>
      </c>
      <c r="BD265" s="10">
        <v>0</v>
      </c>
      <c r="BE265" s="10">
        <v>0</v>
      </c>
      <c r="BF265" s="10">
        <v>0</v>
      </c>
    </row>
    <row r="266" spans="1:58" ht="14.1" customHeight="1">
      <c r="A266" s="412">
        <f t="shared" si="619"/>
        <v>260</v>
      </c>
      <c r="B266" s="22" t="s">
        <v>177</v>
      </c>
      <c r="C266" s="38">
        <f t="shared" si="715"/>
        <v>0</v>
      </c>
      <c r="D266" s="10">
        <v>0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10">
        <v>0</v>
      </c>
      <c r="P266" s="10">
        <v>0</v>
      </c>
      <c r="Q266" s="10">
        <v>0</v>
      </c>
      <c r="R266" s="10">
        <v>0</v>
      </c>
      <c r="S266" s="10">
        <v>0</v>
      </c>
      <c r="T266" s="10">
        <v>0</v>
      </c>
      <c r="U266" s="10">
        <v>0</v>
      </c>
      <c r="V266" s="10">
        <v>0</v>
      </c>
      <c r="W266" s="10">
        <v>0</v>
      </c>
      <c r="X266" s="10">
        <v>0</v>
      </c>
      <c r="Y266" s="10">
        <v>0</v>
      </c>
      <c r="Z266" s="10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  <c r="AF266" s="10">
        <v>0</v>
      </c>
      <c r="AG266" s="10">
        <v>0</v>
      </c>
      <c r="AH266" s="10">
        <v>0</v>
      </c>
      <c r="AI266" s="10">
        <v>0</v>
      </c>
      <c r="AJ266" s="10">
        <v>0</v>
      </c>
      <c r="AK266" s="10">
        <v>0</v>
      </c>
      <c r="AL266" s="10">
        <v>0</v>
      </c>
      <c r="AM266" s="10">
        <v>0</v>
      </c>
      <c r="AN266" s="10">
        <v>0</v>
      </c>
      <c r="AO266" s="10">
        <v>0</v>
      </c>
      <c r="AP266" s="10">
        <v>0</v>
      </c>
      <c r="AQ266" s="10">
        <v>0</v>
      </c>
      <c r="AR266" s="10">
        <v>0</v>
      </c>
      <c r="AS266" s="10">
        <v>0</v>
      </c>
      <c r="AT266" s="10">
        <v>0</v>
      </c>
      <c r="AU266" s="10">
        <v>0</v>
      </c>
      <c r="AV266" s="10">
        <v>0</v>
      </c>
      <c r="AW266" s="10">
        <v>0</v>
      </c>
      <c r="AX266" s="10">
        <v>0</v>
      </c>
      <c r="AY266" s="10">
        <v>0</v>
      </c>
      <c r="AZ266" s="10">
        <v>0</v>
      </c>
      <c r="BA266" s="10">
        <v>0</v>
      </c>
      <c r="BB266" s="10">
        <v>0</v>
      </c>
      <c r="BC266" s="10">
        <v>0</v>
      </c>
      <c r="BD266" s="10">
        <v>0</v>
      </c>
      <c r="BE266" s="10">
        <v>0</v>
      </c>
      <c r="BF266" s="10">
        <v>0</v>
      </c>
    </row>
    <row r="267" spans="1:58" ht="14.1" customHeight="1">
      <c r="A267" s="412">
        <f t="shared" si="619"/>
        <v>261</v>
      </c>
      <c r="B267" s="22" t="s">
        <v>178</v>
      </c>
      <c r="C267" s="38">
        <f t="shared" si="715"/>
        <v>0</v>
      </c>
      <c r="D267" s="10">
        <v>0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0</v>
      </c>
      <c r="T267" s="10">
        <v>0</v>
      </c>
      <c r="U267" s="10">
        <v>0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v>0</v>
      </c>
      <c r="AU267" s="10">
        <v>0</v>
      </c>
      <c r="AV267" s="10">
        <v>0</v>
      </c>
      <c r="AW267" s="10">
        <v>0</v>
      </c>
      <c r="AX267" s="10">
        <v>0</v>
      </c>
      <c r="AY267" s="10">
        <v>0</v>
      </c>
      <c r="AZ267" s="10">
        <v>0</v>
      </c>
      <c r="BA267" s="10">
        <v>0</v>
      </c>
      <c r="BB267" s="10">
        <v>0</v>
      </c>
      <c r="BC267" s="10">
        <v>0</v>
      </c>
      <c r="BD267" s="10">
        <v>0</v>
      </c>
      <c r="BE267" s="10">
        <v>0</v>
      </c>
      <c r="BF267" s="10">
        <v>0</v>
      </c>
    </row>
    <row r="268" spans="1:58" ht="14.1" customHeight="1">
      <c r="A268" s="412">
        <f t="shared" si="619"/>
        <v>262</v>
      </c>
      <c r="B268" s="22" t="s">
        <v>179</v>
      </c>
      <c r="C268" s="38">
        <f t="shared" si="715"/>
        <v>0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10">
        <v>0</v>
      </c>
      <c r="P268" s="10">
        <v>0</v>
      </c>
      <c r="Q268" s="10">
        <v>0</v>
      </c>
      <c r="R268" s="10">
        <v>0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0</v>
      </c>
      <c r="Y268" s="10">
        <v>0</v>
      </c>
      <c r="Z268" s="10">
        <v>0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10">
        <v>0</v>
      </c>
      <c r="AG268" s="10">
        <v>0</v>
      </c>
      <c r="AH268" s="10">
        <v>0</v>
      </c>
      <c r="AI268" s="10">
        <v>0</v>
      </c>
      <c r="AJ268" s="10">
        <v>0</v>
      </c>
      <c r="AK268" s="10">
        <v>0</v>
      </c>
      <c r="AL268" s="10">
        <v>0</v>
      </c>
      <c r="AM268" s="10">
        <v>0</v>
      </c>
      <c r="AN268" s="10">
        <v>0</v>
      </c>
      <c r="AO268" s="10">
        <v>0</v>
      </c>
      <c r="AP268" s="10">
        <v>0</v>
      </c>
      <c r="AQ268" s="10">
        <v>0</v>
      </c>
      <c r="AR268" s="10">
        <v>0</v>
      </c>
      <c r="AS268" s="10">
        <v>0</v>
      </c>
      <c r="AT268" s="10">
        <v>0</v>
      </c>
      <c r="AU268" s="10">
        <v>0</v>
      </c>
      <c r="AV268" s="10">
        <v>0</v>
      </c>
      <c r="AW268" s="10">
        <v>0</v>
      </c>
      <c r="AX268" s="10">
        <v>0</v>
      </c>
      <c r="AY268" s="10">
        <v>0</v>
      </c>
      <c r="AZ268" s="10">
        <v>0</v>
      </c>
      <c r="BA268" s="10">
        <v>0</v>
      </c>
      <c r="BB268" s="10">
        <v>0</v>
      </c>
      <c r="BC268" s="10">
        <v>0</v>
      </c>
      <c r="BD268" s="10">
        <v>0</v>
      </c>
      <c r="BE268" s="10">
        <v>0</v>
      </c>
      <c r="BF268" s="10">
        <v>0</v>
      </c>
    </row>
    <row r="269" spans="1:58" ht="14.1" customHeight="1">
      <c r="A269" s="412">
        <f t="shared" ref="A269:A332" si="716">+A268+1</f>
        <v>263</v>
      </c>
      <c r="B269" s="22" t="s">
        <v>180</v>
      </c>
      <c r="C269" s="38">
        <f t="shared" si="715"/>
        <v>0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0</v>
      </c>
      <c r="T269" s="10">
        <v>0</v>
      </c>
      <c r="U269" s="10">
        <v>0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v>0</v>
      </c>
      <c r="AU269" s="10">
        <v>0</v>
      </c>
      <c r="AV269" s="10">
        <v>0</v>
      </c>
      <c r="AW269" s="10">
        <v>0</v>
      </c>
      <c r="AX269" s="10">
        <v>0</v>
      </c>
      <c r="AY269" s="10">
        <v>0</v>
      </c>
      <c r="AZ269" s="10">
        <v>0</v>
      </c>
      <c r="BA269" s="10">
        <v>0</v>
      </c>
      <c r="BB269" s="10">
        <v>0</v>
      </c>
      <c r="BC269" s="10">
        <v>0</v>
      </c>
      <c r="BD269" s="10">
        <v>0</v>
      </c>
      <c r="BE269" s="10">
        <v>0</v>
      </c>
      <c r="BF269" s="10">
        <v>0</v>
      </c>
    </row>
    <row r="270" spans="1:58" ht="14.1" customHeight="1">
      <c r="A270" s="412">
        <f t="shared" si="716"/>
        <v>264</v>
      </c>
      <c r="B270" s="22" t="s">
        <v>181</v>
      </c>
      <c r="C270" s="38">
        <f t="shared" si="715"/>
        <v>0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10">
        <v>0</v>
      </c>
      <c r="N270" s="10">
        <v>0</v>
      </c>
      <c r="O270" s="10">
        <v>0</v>
      </c>
      <c r="P270" s="10">
        <v>0</v>
      </c>
      <c r="Q270" s="10">
        <v>0</v>
      </c>
      <c r="R270" s="10">
        <v>0</v>
      </c>
      <c r="S270" s="10">
        <v>0</v>
      </c>
      <c r="T270" s="10">
        <v>0</v>
      </c>
      <c r="U270" s="10">
        <v>0</v>
      </c>
      <c r="V270" s="10">
        <v>0</v>
      </c>
      <c r="W270" s="10">
        <v>0</v>
      </c>
      <c r="X270" s="10">
        <v>0</v>
      </c>
      <c r="Y270" s="10">
        <v>0</v>
      </c>
      <c r="Z270" s="10">
        <v>0</v>
      </c>
      <c r="AA270" s="10">
        <v>0</v>
      </c>
      <c r="AB270" s="10">
        <v>0</v>
      </c>
      <c r="AC270" s="10">
        <v>0</v>
      </c>
      <c r="AD270" s="10">
        <v>0</v>
      </c>
      <c r="AE270" s="10">
        <v>0</v>
      </c>
      <c r="AF270" s="10">
        <v>0</v>
      </c>
      <c r="AG270" s="10">
        <v>0</v>
      </c>
      <c r="AH270" s="10">
        <v>0</v>
      </c>
      <c r="AI270" s="10">
        <v>0</v>
      </c>
      <c r="AJ270" s="10">
        <v>0</v>
      </c>
      <c r="AK270" s="10">
        <v>0</v>
      </c>
      <c r="AL270" s="10">
        <v>0</v>
      </c>
      <c r="AM270" s="10">
        <v>0</v>
      </c>
      <c r="AN270" s="10">
        <v>0</v>
      </c>
      <c r="AO270" s="10">
        <v>0</v>
      </c>
      <c r="AP270" s="10">
        <v>0</v>
      </c>
      <c r="AQ270" s="10">
        <v>0</v>
      </c>
      <c r="AR270" s="10">
        <v>0</v>
      </c>
      <c r="AS270" s="10">
        <v>0</v>
      </c>
      <c r="AT270" s="10">
        <v>0</v>
      </c>
      <c r="AU270" s="10">
        <v>0</v>
      </c>
      <c r="AV270" s="10">
        <v>0</v>
      </c>
      <c r="AW270" s="10">
        <v>0</v>
      </c>
      <c r="AX270" s="10">
        <v>0</v>
      </c>
      <c r="AY270" s="10">
        <v>0</v>
      </c>
      <c r="AZ270" s="10">
        <v>0</v>
      </c>
      <c r="BA270" s="10">
        <v>0</v>
      </c>
      <c r="BB270" s="10">
        <v>0</v>
      </c>
      <c r="BC270" s="10">
        <v>0</v>
      </c>
      <c r="BD270" s="10">
        <v>0</v>
      </c>
      <c r="BE270" s="10">
        <v>0</v>
      </c>
      <c r="BF270" s="10">
        <v>0</v>
      </c>
    </row>
    <row r="271" spans="1:58" ht="14.1" customHeight="1">
      <c r="A271" s="412">
        <f t="shared" si="716"/>
        <v>265</v>
      </c>
      <c r="B271" s="22" t="s">
        <v>182</v>
      </c>
      <c r="C271" s="38">
        <f t="shared" si="715"/>
        <v>532369</v>
      </c>
      <c r="D271" s="10">
        <v>0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0</v>
      </c>
      <c r="T271" s="10">
        <v>0</v>
      </c>
      <c r="U271" s="10">
        <v>0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532369</v>
      </c>
      <c r="AQ271" s="10">
        <v>0</v>
      </c>
      <c r="AR271" s="10">
        <v>0</v>
      </c>
      <c r="AS271" s="10">
        <v>0</v>
      </c>
      <c r="AT271" s="10">
        <v>0</v>
      </c>
      <c r="AU271" s="10">
        <v>0</v>
      </c>
      <c r="AV271" s="10">
        <v>0</v>
      </c>
      <c r="AW271" s="10">
        <v>0</v>
      </c>
      <c r="AX271" s="10">
        <v>0</v>
      </c>
      <c r="AY271" s="10">
        <v>0</v>
      </c>
      <c r="AZ271" s="10">
        <v>0</v>
      </c>
      <c r="BA271" s="10">
        <v>0</v>
      </c>
      <c r="BB271" s="10">
        <v>0</v>
      </c>
      <c r="BC271" s="10">
        <v>0</v>
      </c>
      <c r="BD271" s="10">
        <v>0</v>
      </c>
      <c r="BE271" s="10">
        <v>0</v>
      </c>
      <c r="BF271" s="10">
        <v>0</v>
      </c>
    </row>
    <row r="272" spans="1:58" ht="14.1" customHeight="1">
      <c r="A272" s="412">
        <f t="shared" si="716"/>
        <v>266</v>
      </c>
      <c r="B272" s="22" t="s">
        <v>183</v>
      </c>
      <c r="C272" s="38">
        <f t="shared" si="715"/>
        <v>0</v>
      </c>
      <c r="D272" s="43">
        <v>0</v>
      </c>
      <c r="E272" s="43">
        <v>0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3">
        <v>0</v>
      </c>
      <c r="L272" s="43">
        <v>0</v>
      </c>
      <c r="M272" s="43">
        <v>0</v>
      </c>
      <c r="N272" s="43">
        <v>0</v>
      </c>
      <c r="O272" s="43">
        <v>0</v>
      </c>
      <c r="P272" s="43">
        <v>0</v>
      </c>
      <c r="Q272" s="43">
        <v>0</v>
      </c>
      <c r="R272" s="43">
        <v>0</v>
      </c>
      <c r="S272" s="43">
        <v>0</v>
      </c>
      <c r="T272" s="43">
        <v>0</v>
      </c>
      <c r="U272" s="43">
        <v>0</v>
      </c>
      <c r="V272" s="43">
        <v>0</v>
      </c>
      <c r="W272" s="43">
        <v>0</v>
      </c>
      <c r="X272" s="43">
        <v>0</v>
      </c>
      <c r="Y272" s="43">
        <v>0</v>
      </c>
      <c r="Z272" s="43">
        <v>0</v>
      </c>
      <c r="AA272" s="43">
        <v>0</v>
      </c>
      <c r="AB272" s="43">
        <v>0</v>
      </c>
      <c r="AC272" s="43">
        <v>0</v>
      </c>
      <c r="AD272" s="43">
        <v>0</v>
      </c>
      <c r="AE272" s="43">
        <v>0</v>
      </c>
      <c r="AF272" s="43">
        <v>0</v>
      </c>
      <c r="AG272" s="43">
        <v>0</v>
      </c>
      <c r="AH272" s="43">
        <v>0</v>
      </c>
      <c r="AI272" s="43">
        <v>0</v>
      </c>
      <c r="AJ272" s="43">
        <v>0</v>
      </c>
      <c r="AK272" s="43">
        <v>0</v>
      </c>
      <c r="AL272" s="43">
        <v>0</v>
      </c>
      <c r="AM272" s="43">
        <v>0</v>
      </c>
      <c r="AN272" s="43">
        <v>0</v>
      </c>
      <c r="AO272" s="43">
        <v>0</v>
      </c>
      <c r="AP272" s="43">
        <v>0</v>
      </c>
      <c r="AQ272" s="43">
        <v>0</v>
      </c>
      <c r="AR272" s="43">
        <v>0</v>
      </c>
      <c r="AS272" s="43">
        <v>0</v>
      </c>
      <c r="AT272" s="43">
        <v>0</v>
      </c>
      <c r="AU272" s="43">
        <v>0</v>
      </c>
      <c r="AV272" s="43">
        <v>0</v>
      </c>
      <c r="AW272" s="43">
        <v>0</v>
      </c>
      <c r="AX272" s="43">
        <v>0</v>
      </c>
      <c r="AY272" s="43">
        <v>0</v>
      </c>
      <c r="AZ272" s="43">
        <v>0</v>
      </c>
      <c r="BA272" s="43">
        <v>0</v>
      </c>
      <c r="BB272" s="43">
        <v>0</v>
      </c>
      <c r="BC272" s="43">
        <v>0</v>
      </c>
      <c r="BD272" s="43">
        <v>0</v>
      </c>
      <c r="BE272" s="43">
        <v>0</v>
      </c>
      <c r="BF272" s="43">
        <v>0</v>
      </c>
    </row>
    <row r="273" spans="1:58" ht="14.1" customHeight="1">
      <c r="A273" s="412">
        <f t="shared" si="716"/>
        <v>267</v>
      </c>
      <c r="B273" s="56" t="s">
        <v>184</v>
      </c>
      <c r="C273" s="38">
        <f t="shared" si="715"/>
        <v>0</v>
      </c>
      <c r="D273" s="43">
        <v>0</v>
      </c>
      <c r="E273" s="43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R273" s="43">
        <v>0</v>
      </c>
      <c r="S273" s="43">
        <v>0</v>
      </c>
      <c r="T273" s="43">
        <v>0</v>
      </c>
      <c r="U273" s="43">
        <v>0</v>
      </c>
      <c r="V273" s="43">
        <v>0</v>
      </c>
      <c r="W273" s="43">
        <v>0</v>
      </c>
      <c r="X273" s="43">
        <v>0</v>
      </c>
      <c r="Y273" s="43">
        <v>0</v>
      </c>
      <c r="Z273" s="43">
        <v>0</v>
      </c>
      <c r="AA273" s="43">
        <v>0</v>
      </c>
      <c r="AB273" s="43">
        <v>0</v>
      </c>
      <c r="AC273" s="43">
        <v>0</v>
      </c>
      <c r="AD273" s="43">
        <v>0</v>
      </c>
      <c r="AE273" s="43">
        <v>0</v>
      </c>
      <c r="AF273" s="43">
        <v>0</v>
      </c>
      <c r="AG273" s="43">
        <v>0</v>
      </c>
      <c r="AH273" s="43">
        <v>0</v>
      </c>
      <c r="AI273" s="43">
        <v>0</v>
      </c>
      <c r="AJ273" s="43">
        <v>0</v>
      </c>
      <c r="AK273" s="43">
        <v>0</v>
      </c>
      <c r="AL273" s="43">
        <v>0</v>
      </c>
      <c r="AM273" s="43">
        <v>0</v>
      </c>
      <c r="AN273" s="43">
        <v>0</v>
      </c>
      <c r="AO273" s="43">
        <v>0</v>
      </c>
      <c r="AP273" s="43">
        <v>0</v>
      </c>
      <c r="AQ273" s="43">
        <v>0</v>
      </c>
      <c r="AR273" s="43">
        <v>0</v>
      </c>
      <c r="AS273" s="43">
        <v>0</v>
      </c>
      <c r="AT273" s="43">
        <v>0</v>
      </c>
      <c r="AU273" s="43">
        <v>0</v>
      </c>
      <c r="AV273" s="43">
        <v>0</v>
      </c>
      <c r="AW273" s="43">
        <v>0</v>
      </c>
      <c r="AX273" s="43">
        <v>0</v>
      </c>
      <c r="AY273" s="43">
        <v>0</v>
      </c>
      <c r="AZ273" s="43">
        <v>0</v>
      </c>
      <c r="BA273" s="43">
        <v>0</v>
      </c>
      <c r="BB273" s="43">
        <v>0</v>
      </c>
      <c r="BC273" s="43">
        <v>0</v>
      </c>
      <c r="BD273" s="43">
        <v>0</v>
      </c>
      <c r="BE273" s="43">
        <v>0</v>
      </c>
      <c r="BF273" s="43">
        <v>0</v>
      </c>
    </row>
    <row r="274" spans="1:58" s="21" customFormat="1" ht="14.1" customHeight="1">
      <c r="A274" s="412">
        <f t="shared" si="716"/>
        <v>268</v>
      </c>
      <c r="B274" s="20" t="s">
        <v>499</v>
      </c>
      <c r="C274" s="86">
        <f>SUM(C265:C273)</f>
        <v>532369</v>
      </c>
      <c r="D274" s="86">
        <f>SUM(D265:D273)</f>
        <v>0</v>
      </c>
      <c r="E274" s="86">
        <f>SUM(E265:E273)</f>
        <v>0</v>
      </c>
      <c r="F274" s="86">
        <f t="shared" ref="F274" si="717">SUM(F265:F273)</f>
        <v>0</v>
      </c>
      <c r="G274" s="86">
        <f t="shared" ref="G274" si="718">SUM(G265:G273)</f>
        <v>0</v>
      </c>
      <c r="H274" s="86">
        <f t="shared" ref="H274:BE274" si="719">SUM(H265:H273)</f>
        <v>0</v>
      </c>
      <c r="I274" s="86">
        <f>SUM(I265:I273)</f>
        <v>0</v>
      </c>
      <c r="J274" s="86">
        <f>SUM(J265:J273)</f>
        <v>0</v>
      </c>
      <c r="K274" s="86">
        <f>SUM(K265:K273)</f>
        <v>0</v>
      </c>
      <c r="L274" s="86">
        <f t="shared" ref="L274" si="720">SUM(L265:L273)</f>
        <v>0</v>
      </c>
      <c r="M274" s="86">
        <f t="shared" ref="M274:AB274" si="721">SUM(M265:M273)</f>
        <v>0</v>
      </c>
      <c r="N274" s="86">
        <f t="shared" si="721"/>
        <v>0</v>
      </c>
      <c r="O274" s="86">
        <f t="shared" si="721"/>
        <v>0</v>
      </c>
      <c r="P274" s="86">
        <f t="shared" si="721"/>
        <v>0</v>
      </c>
      <c r="Q274" s="86">
        <f t="shared" si="721"/>
        <v>0</v>
      </c>
      <c r="R274" s="86">
        <f t="shared" si="721"/>
        <v>0</v>
      </c>
      <c r="S274" s="86">
        <f t="shared" si="721"/>
        <v>0</v>
      </c>
      <c r="T274" s="86">
        <f t="shared" si="721"/>
        <v>0</v>
      </c>
      <c r="U274" s="86">
        <f t="shared" si="721"/>
        <v>0</v>
      </c>
      <c r="V274" s="86">
        <f t="shared" si="721"/>
        <v>0</v>
      </c>
      <c r="W274" s="86">
        <f t="shared" si="721"/>
        <v>0</v>
      </c>
      <c r="X274" s="86">
        <f t="shared" si="721"/>
        <v>0</v>
      </c>
      <c r="Y274" s="86">
        <f t="shared" si="721"/>
        <v>0</v>
      </c>
      <c r="Z274" s="86">
        <f t="shared" si="721"/>
        <v>0</v>
      </c>
      <c r="AA274" s="86">
        <f t="shared" si="721"/>
        <v>0</v>
      </c>
      <c r="AB274" s="86">
        <f t="shared" si="721"/>
        <v>0</v>
      </c>
      <c r="AC274" s="86">
        <f t="shared" ref="AC274" si="722">SUM(AC265:AC273)</f>
        <v>0</v>
      </c>
      <c r="AD274" s="86">
        <f>SUM(AD265:AD273)</f>
        <v>0</v>
      </c>
      <c r="AE274" s="86">
        <f>SUM(AE265:AE273)</f>
        <v>0</v>
      </c>
      <c r="AF274" s="86">
        <f t="shared" ref="AF274" si="723">SUM(AF265:AF273)</f>
        <v>0</v>
      </c>
      <c r="AG274" s="86">
        <f t="shared" ref="AG274" si="724">SUM(AG265:AG273)</f>
        <v>0</v>
      </c>
      <c r="AH274" s="86">
        <f>SUM(AH265:AH273)</f>
        <v>0</v>
      </c>
      <c r="AI274" s="86">
        <f>SUM(AI265:AI273)</f>
        <v>0</v>
      </c>
      <c r="AJ274" s="86">
        <f t="shared" ref="AJ274" si="725">SUM(AJ265:AJ273)</f>
        <v>0</v>
      </c>
      <c r="AK274" s="86">
        <f t="shared" ref="AK274:AU274" si="726">SUM(AK265:AK273)</f>
        <v>0</v>
      </c>
      <c r="AL274" s="86">
        <f t="shared" si="726"/>
        <v>0</v>
      </c>
      <c r="AM274" s="86">
        <f t="shared" si="726"/>
        <v>0</v>
      </c>
      <c r="AN274" s="86">
        <f t="shared" si="726"/>
        <v>0</v>
      </c>
      <c r="AO274" s="86">
        <f t="shared" si="726"/>
        <v>0</v>
      </c>
      <c r="AP274" s="86">
        <f t="shared" si="726"/>
        <v>532369</v>
      </c>
      <c r="AQ274" s="86">
        <f t="shared" si="726"/>
        <v>0</v>
      </c>
      <c r="AR274" s="86">
        <f t="shared" si="726"/>
        <v>0</v>
      </c>
      <c r="AS274" s="86">
        <f t="shared" si="726"/>
        <v>0</v>
      </c>
      <c r="AT274" s="86">
        <f t="shared" si="726"/>
        <v>0</v>
      </c>
      <c r="AU274" s="86">
        <f t="shared" si="726"/>
        <v>0</v>
      </c>
      <c r="AV274" s="86">
        <f>SUM(AV265:AV273)</f>
        <v>0</v>
      </c>
      <c r="AW274" s="86">
        <f>SUM(AW265:AW273)</f>
        <v>0</v>
      </c>
      <c r="AX274" s="86">
        <f t="shared" si="719"/>
        <v>0</v>
      </c>
      <c r="AY274" s="86">
        <f t="shared" si="719"/>
        <v>0</v>
      </c>
      <c r="AZ274" s="86">
        <f t="shared" si="719"/>
        <v>0</v>
      </c>
      <c r="BA274" s="86">
        <f t="shared" si="719"/>
        <v>0</v>
      </c>
      <c r="BB274" s="86">
        <f t="shared" si="719"/>
        <v>0</v>
      </c>
      <c r="BC274" s="86">
        <f t="shared" si="719"/>
        <v>0</v>
      </c>
      <c r="BD274" s="86">
        <f t="shared" si="719"/>
        <v>0</v>
      </c>
      <c r="BE274" s="86">
        <f t="shared" si="719"/>
        <v>0</v>
      </c>
      <c r="BF274" s="86">
        <f>SUM(BF265:BF273)</f>
        <v>0</v>
      </c>
    </row>
    <row r="275" spans="1:58" s="21" customFormat="1" ht="14.1" customHeight="1">
      <c r="A275" s="412">
        <f t="shared" si="716"/>
        <v>269</v>
      </c>
      <c r="B275" s="134"/>
      <c r="C275" s="134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</row>
    <row r="276" spans="1:58" s="21" customFormat="1" ht="14.1" customHeight="1">
      <c r="A276" s="412">
        <f t="shared" si="716"/>
        <v>270</v>
      </c>
      <c r="B276" s="13" t="s">
        <v>185</v>
      </c>
      <c r="C276" s="13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</row>
    <row r="277" spans="1:58" s="21" customFormat="1" ht="14.1" customHeight="1">
      <c r="A277" s="412">
        <f t="shared" si="716"/>
        <v>271</v>
      </c>
      <c r="B277" s="22" t="s">
        <v>186</v>
      </c>
      <c r="C277" s="38">
        <f t="shared" ref="C277:C285" si="727">SUM(D277:BF277)</f>
        <v>0</v>
      </c>
      <c r="D277" s="10">
        <v>0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0</v>
      </c>
      <c r="T277" s="10">
        <v>0</v>
      </c>
      <c r="U277" s="10">
        <v>0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v>0</v>
      </c>
      <c r="AU277" s="10">
        <v>0</v>
      </c>
      <c r="AV277" s="10">
        <v>0</v>
      </c>
      <c r="AW277" s="10">
        <v>0</v>
      </c>
      <c r="AX277" s="10">
        <v>0</v>
      </c>
      <c r="AY277" s="10">
        <v>0</v>
      </c>
      <c r="AZ277" s="10">
        <v>0</v>
      </c>
      <c r="BA277" s="10">
        <v>0</v>
      </c>
      <c r="BB277" s="10">
        <v>0</v>
      </c>
      <c r="BC277" s="10">
        <v>0</v>
      </c>
      <c r="BD277" s="10">
        <v>0</v>
      </c>
      <c r="BE277" s="10">
        <v>0</v>
      </c>
      <c r="BF277" s="10">
        <v>0</v>
      </c>
    </row>
    <row r="278" spans="1:58" ht="14.1" customHeight="1">
      <c r="A278" s="412">
        <f t="shared" si="716"/>
        <v>272</v>
      </c>
      <c r="B278" s="22" t="s">
        <v>829</v>
      </c>
      <c r="C278" s="38">
        <f t="shared" si="727"/>
        <v>-12563569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10">
        <v>-12563569</v>
      </c>
      <c r="N278" s="10">
        <v>0</v>
      </c>
      <c r="O278" s="10">
        <v>0</v>
      </c>
      <c r="P278" s="10">
        <v>0</v>
      </c>
      <c r="Q278" s="10">
        <v>0</v>
      </c>
      <c r="R278" s="10">
        <v>0</v>
      </c>
      <c r="S278" s="10">
        <v>0</v>
      </c>
      <c r="T278" s="10">
        <v>0</v>
      </c>
      <c r="U278" s="10">
        <v>0</v>
      </c>
      <c r="V278" s="10">
        <v>0</v>
      </c>
      <c r="W278" s="10">
        <v>0</v>
      </c>
      <c r="X278" s="10">
        <v>0</v>
      </c>
      <c r="Y278" s="10">
        <v>0</v>
      </c>
      <c r="Z278" s="10">
        <v>0</v>
      </c>
      <c r="AA278" s="10">
        <v>0</v>
      </c>
      <c r="AB278" s="10">
        <v>0</v>
      </c>
      <c r="AC278" s="10">
        <v>0</v>
      </c>
      <c r="AD278" s="10">
        <v>0</v>
      </c>
      <c r="AE278" s="10">
        <v>0</v>
      </c>
      <c r="AF278" s="10">
        <v>0</v>
      </c>
      <c r="AG278" s="10">
        <v>0</v>
      </c>
      <c r="AH278" s="10">
        <v>0</v>
      </c>
      <c r="AI278" s="10">
        <v>0</v>
      </c>
      <c r="AJ278" s="10">
        <v>0</v>
      </c>
      <c r="AK278" s="10">
        <v>0</v>
      </c>
      <c r="AL278" s="10">
        <v>0</v>
      </c>
      <c r="AM278" s="10">
        <v>0</v>
      </c>
      <c r="AN278" s="10">
        <v>0</v>
      </c>
      <c r="AO278" s="10">
        <v>0</v>
      </c>
      <c r="AP278" s="10">
        <v>0</v>
      </c>
      <c r="AQ278" s="10">
        <v>0</v>
      </c>
      <c r="AR278" s="10">
        <v>0</v>
      </c>
      <c r="AS278" s="10">
        <v>0</v>
      </c>
      <c r="AT278" s="10">
        <v>0</v>
      </c>
      <c r="AU278" s="10">
        <v>0</v>
      </c>
      <c r="AV278" s="10">
        <v>0</v>
      </c>
      <c r="AW278" s="10">
        <v>0</v>
      </c>
      <c r="AX278" s="10">
        <v>0</v>
      </c>
      <c r="AY278" s="10">
        <v>0</v>
      </c>
      <c r="AZ278" s="10">
        <v>0</v>
      </c>
      <c r="BA278" s="10">
        <v>0</v>
      </c>
      <c r="BB278" s="10">
        <v>0</v>
      </c>
      <c r="BC278" s="10">
        <v>0</v>
      </c>
      <c r="BD278" s="10">
        <v>0</v>
      </c>
      <c r="BE278" s="10">
        <v>0</v>
      </c>
      <c r="BF278" s="10">
        <v>0</v>
      </c>
    </row>
    <row r="279" spans="1:58" ht="14.1" customHeight="1">
      <c r="A279" s="412">
        <f t="shared" si="716"/>
        <v>273</v>
      </c>
      <c r="B279" s="22" t="s">
        <v>826</v>
      </c>
      <c r="C279" s="38">
        <f t="shared" si="727"/>
        <v>0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0">
        <v>0</v>
      </c>
      <c r="T279" s="10">
        <v>0</v>
      </c>
      <c r="U279" s="10">
        <v>0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</v>
      </c>
      <c r="AT279" s="10">
        <v>0</v>
      </c>
      <c r="AU279" s="10">
        <v>0</v>
      </c>
      <c r="AV279" s="10">
        <v>0</v>
      </c>
      <c r="AW279" s="10">
        <v>0</v>
      </c>
      <c r="AX279" s="10">
        <v>0</v>
      </c>
      <c r="AY279" s="10">
        <v>0</v>
      </c>
      <c r="AZ279" s="10">
        <v>0</v>
      </c>
      <c r="BA279" s="10">
        <v>0</v>
      </c>
      <c r="BB279" s="10">
        <v>0</v>
      </c>
      <c r="BC279" s="10">
        <v>0</v>
      </c>
      <c r="BD279" s="10">
        <v>0</v>
      </c>
      <c r="BE279" s="10">
        <v>0</v>
      </c>
      <c r="BF279" s="10">
        <v>0</v>
      </c>
    </row>
    <row r="280" spans="1:58" ht="14.1" customHeight="1">
      <c r="A280" s="412">
        <f t="shared" si="716"/>
        <v>274</v>
      </c>
      <c r="B280" s="22" t="s">
        <v>822</v>
      </c>
      <c r="C280" s="38">
        <f t="shared" si="727"/>
        <v>-3297104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0</v>
      </c>
      <c r="O280" s="10">
        <v>0</v>
      </c>
      <c r="P280" s="10">
        <v>0</v>
      </c>
      <c r="Q280" s="10">
        <v>0</v>
      </c>
      <c r="R280" s="10">
        <v>0</v>
      </c>
      <c r="S280" s="10">
        <v>0</v>
      </c>
      <c r="T280" s="10">
        <v>0</v>
      </c>
      <c r="U280" s="10">
        <v>0</v>
      </c>
      <c r="V280" s="10">
        <v>0</v>
      </c>
      <c r="W280" s="10">
        <v>0</v>
      </c>
      <c r="X280" s="10">
        <v>0</v>
      </c>
      <c r="Y280" s="10">
        <v>0</v>
      </c>
      <c r="Z280" s="10">
        <v>0</v>
      </c>
      <c r="AA280" s="10">
        <v>0</v>
      </c>
      <c r="AB280" s="10">
        <v>0</v>
      </c>
      <c r="AC280" s="10">
        <v>0</v>
      </c>
      <c r="AD280" s="10">
        <v>0</v>
      </c>
      <c r="AE280" s="10">
        <f>-3371438+74334</f>
        <v>-3297104</v>
      </c>
      <c r="AF280" s="10">
        <v>0</v>
      </c>
      <c r="AG280" s="10">
        <v>0</v>
      </c>
      <c r="AH280" s="10">
        <v>0</v>
      </c>
      <c r="AI280" s="10">
        <v>0</v>
      </c>
      <c r="AJ280" s="10">
        <v>0</v>
      </c>
      <c r="AK280" s="10">
        <v>0</v>
      </c>
      <c r="AL280" s="10">
        <v>0</v>
      </c>
      <c r="AM280" s="10">
        <v>0</v>
      </c>
      <c r="AN280" s="10">
        <v>0</v>
      </c>
      <c r="AO280" s="10">
        <v>0</v>
      </c>
      <c r="AP280" s="10">
        <v>0</v>
      </c>
      <c r="AQ280" s="10">
        <v>0</v>
      </c>
      <c r="AR280" s="10">
        <v>0</v>
      </c>
      <c r="AS280" s="10">
        <v>0</v>
      </c>
      <c r="AT280" s="10">
        <v>0</v>
      </c>
      <c r="AU280" s="10">
        <v>0</v>
      </c>
      <c r="AV280" s="10">
        <v>0</v>
      </c>
      <c r="AW280" s="10">
        <v>0</v>
      </c>
      <c r="AX280" s="10">
        <v>0</v>
      </c>
      <c r="AY280" s="10">
        <v>0</v>
      </c>
      <c r="AZ280" s="10">
        <v>0</v>
      </c>
      <c r="BA280" s="10">
        <v>0</v>
      </c>
      <c r="BB280" s="10">
        <v>0</v>
      </c>
      <c r="BC280" s="10">
        <v>0</v>
      </c>
      <c r="BD280" s="10">
        <v>0</v>
      </c>
      <c r="BE280" s="10">
        <v>0</v>
      </c>
      <c r="BF280" s="10">
        <v>0</v>
      </c>
    </row>
    <row r="281" spans="1:58" ht="14.1" customHeight="1">
      <c r="A281" s="412">
        <f t="shared" si="716"/>
        <v>275</v>
      </c>
      <c r="B281" s="22" t="s">
        <v>823</v>
      </c>
      <c r="C281" s="38">
        <f t="shared" si="727"/>
        <v>0</v>
      </c>
      <c r="D281" s="10">
        <v>0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0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v>0</v>
      </c>
      <c r="AU281" s="10">
        <v>0</v>
      </c>
      <c r="AV281" s="10">
        <v>0</v>
      </c>
      <c r="AW281" s="10">
        <v>0</v>
      </c>
      <c r="AX281" s="10">
        <v>0</v>
      </c>
      <c r="AY281" s="10">
        <v>0</v>
      </c>
      <c r="AZ281" s="10">
        <v>0</v>
      </c>
      <c r="BA281" s="10">
        <v>0</v>
      </c>
      <c r="BB281" s="10">
        <v>0</v>
      </c>
      <c r="BC281" s="10">
        <v>0</v>
      </c>
      <c r="BD281" s="10">
        <v>0</v>
      </c>
      <c r="BE281" s="10">
        <v>0</v>
      </c>
      <c r="BF281" s="10">
        <v>0</v>
      </c>
    </row>
    <row r="282" spans="1:58" ht="14.1" customHeight="1">
      <c r="A282" s="412">
        <f t="shared" si="716"/>
        <v>276</v>
      </c>
      <c r="B282" s="22" t="s">
        <v>827</v>
      </c>
      <c r="C282" s="38">
        <f t="shared" si="727"/>
        <v>0</v>
      </c>
      <c r="D282" s="10">
        <v>0</v>
      </c>
      <c r="E282" s="10">
        <v>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10">
        <v>0</v>
      </c>
      <c r="P282" s="10">
        <v>0</v>
      </c>
      <c r="Q282" s="10">
        <v>0</v>
      </c>
      <c r="R282" s="10"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0</v>
      </c>
      <c r="X282" s="10">
        <v>0</v>
      </c>
      <c r="Y282" s="10">
        <v>0</v>
      </c>
      <c r="Z282" s="10">
        <v>0</v>
      </c>
      <c r="AA282" s="10">
        <v>0</v>
      </c>
      <c r="AB282" s="10">
        <v>0</v>
      </c>
      <c r="AC282" s="10">
        <v>0</v>
      </c>
      <c r="AD282" s="10">
        <v>0</v>
      </c>
      <c r="AE282" s="10">
        <v>0</v>
      </c>
      <c r="AF282" s="10">
        <v>0</v>
      </c>
      <c r="AG282" s="10">
        <v>0</v>
      </c>
      <c r="AH282" s="10">
        <v>0</v>
      </c>
      <c r="AI282" s="10">
        <v>0</v>
      </c>
      <c r="AJ282" s="10">
        <v>0</v>
      </c>
      <c r="AK282" s="10">
        <v>0</v>
      </c>
      <c r="AL282" s="10">
        <v>0</v>
      </c>
      <c r="AM282" s="10">
        <v>0</v>
      </c>
      <c r="AN282" s="10">
        <v>0</v>
      </c>
      <c r="AO282" s="10">
        <v>0</v>
      </c>
      <c r="AP282" s="10">
        <v>0</v>
      </c>
      <c r="AQ282" s="10">
        <v>0</v>
      </c>
      <c r="AR282" s="10">
        <v>0</v>
      </c>
      <c r="AS282" s="10">
        <v>0</v>
      </c>
      <c r="AT282" s="10">
        <v>0</v>
      </c>
      <c r="AU282" s="10">
        <v>0</v>
      </c>
      <c r="AV282" s="10">
        <v>0</v>
      </c>
      <c r="AW282" s="10">
        <v>0</v>
      </c>
      <c r="AX282" s="10">
        <v>0</v>
      </c>
      <c r="AY282" s="10">
        <v>0</v>
      </c>
      <c r="AZ282" s="10">
        <v>0</v>
      </c>
      <c r="BA282" s="10">
        <v>0</v>
      </c>
      <c r="BB282" s="10">
        <v>0</v>
      </c>
      <c r="BC282" s="10">
        <v>0</v>
      </c>
      <c r="BD282" s="10">
        <v>0</v>
      </c>
      <c r="BE282" s="10">
        <v>0</v>
      </c>
      <c r="BF282" s="10">
        <v>0</v>
      </c>
    </row>
    <row r="283" spans="1:58" ht="14.1" customHeight="1">
      <c r="A283" s="412">
        <f t="shared" si="716"/>
        <v>277</v>
      </c>
      <c r="B283" s="22" t="s">
        <v>824</v>
      </c>
      <c r="C283" s="38">
        <f t="shared" si="727"/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0</v>
      </c>
      <c r="T283" s="10">
        <v>0</v>
      </c>
      <c r="U283" s="10">
        <v>0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0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0</v>
      </c>
      <c r="AT283" s="10">
        <v>0</v>
      </c>
      <c r="AU283" s="10">
        <v>0</v>
      </c>
      <c r="AV283" s="10">
        <v>0</v>
      </c>
      <c r="AW283" s="10">
        <v>0</v>
      </c>
      <c r="AX283" s="10">
        <v>0</v>
      </c>
      <c r="AY283" s="10">
        <v>0</v>
      </c>
      <c r="AZ283" s="10">
        <v>0</v>
      </c>
      <c r="BA283" s="10">
        <v>0</v>
      </c>
      <c r="BB283" s="10">
        <v>0</v>
      </c>
      <c r="BC283" s="10">
        <v>0</v>
      </c>
      <c r="BD283" s="10">
        <v>0</v>
      </c>
      <c r="BE283" s="10">
        <v>0</v>
      </c>
      <c r="BF283" s="10">
        <v>0</v>
      </c>
    </row>
    <row r="284" spans="1:58" ht="14.1" customHeight="1">
      <c r="A284" s="412">
        <f t="shared" si="716"/>
        <v>278</v>
      </c>
      <c r="B284" s="22" t="s">
        <v>825</v>
      </c>
      <c r="C284" s="38">
        <f t="shared" si="727"/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0">
        <v>0</v>
      </c>
      <c r="O284" s="10">
        <v>0</v>
      </c>
      <c r="P284" s="10">
        <v>0</v>
      </c>
      <c r="Q284" s="10">
        <v>0</v>
      </c>
      <c r="R284" s="10">
        <v>0</v>
      </c>
      <c r="S284" s="10">
        <v>0</v>
      </c>
      <c r="T284" s="10">
        <v>0</v>
      </c>
      <c r="U284" s="10">
        <v>0</v>
      </c>
      <c r="V284" s="10">
        <v>0</v>
      </c>
      <c r="W284" s="10">
        <v>0</v>
      </c>
      <c r="X284" s="10">
        <v>0</v>
      </c>
      <c r="Y284" s="10">
        <v>0</v>
      </c>
      <c r="Z284" s="10">
        <v>0</v>
      </c>
      <c r="AA284" s="10">
        <v>0</v>
      </c>
      <c r="AB284" s="10">
        <v>0</v>
      </c>
      <c r="AC284" s="10">
        <v>0</v>
      </c>
      <c r="AD284" s="10">
        <v>0</v>
      </c>
      <c r="AE284" s="10">
        <v>0</v>
      </c>
      <c r="AF284" s="10">
        <v>0</v>
      </c>
      <c r="AG284" s="10">
        <v>0</v>
      </c>
      <c r="AH284" s="10">
        <v>0</v>
      </c>
      <c r="AI284" s="10">
        <v>0</v>
      </c>
      <c r="AJ284" s="10">
        <v>0</v>
      </c>
      <c r="AK284" s="10">
        <v>0</v>
      </c>
      <c r="AL284" s="10">
        <v>0</v>
      </c>
      <c r="AM284" s="10">
        <v>0</v>
      </c>
      <c r="AN284" s="10">
        <v>0</v>
      </c>
      <c r="AO284" s="10">
        <v>0</v>
      </c>
      <c r="AP284" s="10">
        <v>0</v>
      </c>
      <c r="AQ284" s="10">
        <v>0</v>
      </c>
      <c r="AR284" s="10">
        <v>0</v>
      </c>
      <c r="AS284" s="10">
        <v>0</v>
      </c>
      <c r="AT284" s="10">
        <v>0</v>
      </c>
      <c r="AU284" s="10">
        <v>0</v>
      </c>
      <c r="AV284" s="10">
        <v>0</v>
      </c>
      <c r="AW284" s="10">
        <v>0</v>
      </c>
      <c r="AX284" s="10">
        <v>0</v>
      </c>
      <c r="AY284" s="10">
        <v>0</v>
      </c>
      <c r="AZ284" s="10">
        <v>0</v>
      </c>
      <c r="BA284" s="10">
        <v>0</v>
      </c>
      <c r="BB284" s="10">
        <v>0</v>
      </c>
      <c r="BC284" s="10">
        <v>0</v>
      </c>
      <c r="BD284" s="10">
        <v>0</v>
      </c>
      <c r="BE284" s="10">
        <v>0</v>
      </c>
      <c r="BF284" s="10">
        <v>0</v>
      </c>
    </row>
    <row r="285" spans="1:58" ht="14.1" customHeight="1">
      <c r="A285" s="412">
        <f t="shared" si="716"/>
        <v>279</v>
      </c>
      <c r="B285" s="56" t="s">
        <v>828</v>
      </c>
      <c r="C285" s="38">
        <f t="shared" si="727"/>
        <v>0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0</v>
      </c>
      <c r="T285" s="10">
        <v>0</v>
      </c>
      <c r="U285" s="10">
        <v>0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v>0</v>
      </c>
      <c r="AV285" s="10">
        <v>0</v>
      </c>
      <c r="AW285" s="10">
        <v>0</v>
      </c>
      <c r="AX285" s="10">
        <v>0</v>
      </c>
      <c r="AY285" s="10">
        <v>0</v>
      </c>
      <c r="AZ285" s="10">
        <v>0</v>
      </c>
      <c r="BA285" s="10">
        <v>0</v>
      </c>
      <c r="BB285" s="10">
        <v>0</v>
      </c>
      <c r="BC285" s="10">
        <v>0</v>
      </c>
      <c r="BD285" s="10">
        <v>0</v>
      </c>
      <c r="BE285" s="10">
        <v>0</v>
      </c>
      <c r="BF285" s="10">
        <v>0</v>
      </c>
    </row>
    <row r="286" spans="1:58" ht="14.1" customHeight="1">
      <c r="A286" s="412">
        <f t="shared" si="716"/>
        <v>280</v>
      </c>
      <c r="B286" s="20" t="s">
        <v>500</v>
      </c>
      <c r="C286" s="86">
        <f>SUM(C277:C285)</f>
        <v>-15860673</v>
      </c>
      <c r="D286" s="86">
        <f>SUM(D277:D285)</f>
        <v>0</v>
      </c>
      <c r="E286" s="86">
        <f>SUM(E277:E285)</f>
        <v>0</v>
      </c>
      <c r="F286" s="86">
        <f t="shared" ref="F286" si="728">SUM(F277:F285)</f>
        <v>0</v>
      </c>
      <c r="G286" s="86">
        <f t="shared" ref="G286" si="729">SUM(G277:G285)</f>
        <v>0</v>
      </c>
      <c r="H286" s="86">
        <f t="shared" ref="H286:BE286" si="730">SUM(H277:H285)</f>
        <v>0</v>
      </c>
      <c r="I286" s="86">
        <f>SUM(I277:I285)</f>
        <v>0</v>
      </c>
      <c r="J286" s="86">
        <f>SUM(J277:J285)</f>
        <v>0</v>
      </c>
      <c r="K286" s="86">
        <f>SUM(K277:K285)</f>
        <v>0</v>
      </c>
      <c r="L286" s="86">
        <f t="shared" ref="L286" si="731">SUM(L277:L285)</f>
        <v>0</v>
      </c>
      <c r="M286" s="86">
        <f t="shared" ref="M286:AB286" si="732">SUM(M277:M285)</f>
        <v>-12563569</v>
      </c>
      <c r="N286" s="86">
        <f t="shared" si="732"/>
        <v>0</v>
      </c>
      <c r="O286" s="86">
        <f t="shared" si="732"/>
        <v>0</v>
      </c>
      <c r="P286" s="86">
        <f t="shared" si="732"/>
        <v>0</v>
      </c>
      <c r="Q286" s="86">
        <f t="shared" si="732"/>
        <v>0</v>
      </c>
      <c r="R286" s="86">
        <f t="shared" si="732"/>
        <v>0</v>
      </c>
      <c r="S286" s="86">
        <f t="shared" si="732"/>
        <v>0</v>
      </c>
      <c r="T286" s="86">
        <f t="shared" si="732"/>
        <v>0</v>
      </c>
      <c r="U286" s="86">
        <f t="shared" si="732"/>
        <v>0</v>
      </c>
      <c r="V286" s="86">
        <f t="shared" si="732"/>
        <v>0</v>
      </c>
      <c r="W286" s="86">
        <f t="shared" si="732"/>
        <v>0</v>
      </c>
      <c r="X286" s="86">
        <f t="shared" si="732"/>
        <v>0</v>
      </c>
      <c r="Y286" s="86">
        <f t="shared" si="732"/>
        <v>0</v>
      </c>
      <c r="Z286" s="86">
        <f t="shared" si="732"/>
        <v>0</v>
      </c>
      <c r="AA286" s="86">
        <f t="shared" si="732"/>
        <v>0</v>
      </c>
      <c r="AB286" s="86">
        <f t="shared" si="732"/>
        <v>0</v>
      </c>
      <c r="AC286" s="86">
        <f t="shared" ref="AC286" si="733">SUM(AC277:AC285)</f>
        <v>0</v>
      </c>
      <c r="AD286" s="86">
        <f>SUM(AD277:AD285)</f>
        <v>0</v>
      </c>
      <c r="AE286" s="86">
        <f>SUM(AE277:AE285)</f>
        <v>-3297104</v>
      </c>
      <c r="AF286" s="86">
        <f t="shared" ref="AF286" si="734">SUM(AF277:AF285)</f>
        <v>0</v>
      </c>
      <c r="AG286" s="86">
        <f t="shared" ref="AG286" si="735">SUM(AG277:AG285)</f>
        <v>0</v>
      </c>
      <c r="AH286" s="86">
        <f>SUM(AH277:AH285)</f>
        <v>0</v>
      </c>
      <c r="AI286" s="86">
        <f>SUM(AI277:AI285)</f>
        <v>0</v>
      </c>
      <c r="AJ286" s="86">
        <f t="shared" ref="AJ286" si="736">SUM(AJ277:AJ285)</f>
        <v>0</v>
      </c>
      <c r="AK286" s="86">
        <f t="shared" ref="AK286:AU286" si="737">SUM(AK277:AK285)</f>
        <v>0</v>
      </c>
      <c r="AL286" s="86">
        <f t="shared" si="737"/>
        <v>0</v>
      </c>
      <c r="AM286" s="86">
        <f t="shared" si="737"/>
        <v>0</v>
      </c>
      <c r="AN286" s="86">
        <f t="shared" si="737"/>
        <v>0</v>
      </c>
      <c r="AO286" s="86">
        <f t="shared" si="737"/>
        <v>0</v>
      </c>
      <c r="AP286" s="86">
        <f t="shared" si="737"/>
        <v>0</v>
      </c>
      <c r="AQ286" s="86">
        <f t="shared" si="737"/>
        <v>0</v>
      </c>
      <c r="AR286" s="86">
        <f t="shared" si="737"/>
        <v>0</v>
      </c>
      <c r="AS286" s="86">
        <f t="shared" si="737"/>
        <v>0</v>
      </c>
      <c r="AT286" s="86">
        <f t="shared" si="737"/>
        <v>0</v>
      </c>
      <c r="AU286" s="86">
        <f t="shared" si="737"/>
        <v>0</v>
      </c>
      <c r="AV286" s="86">
        <f>SUM(AV277:AV285)</f>
        <v>0</v>
      </c>
      <c r="AW286" s="86">
        <f>SUM(AW277:AW285)</f>
        <v>0</v>
      </c>
      <c r="AX286" s="86">
        <f t="shared" si="730"/>
        <v>0</v>
      </c>
      <c r="AY286" s="86">
        <f t="shared" si="730"/>
        <v>0</v>
      </c>
      <c r="AZ286" s="86">
        <f t="shared" si="730"/>
        <v>0</v>
      </c>
      <c r="BA286" s="86">
        <f t="shared" si="730"/>
        <v>0</v>
      </c>
      <c r="BB286" s="86">
        <f t="shared" si="730"/>
        <v>0</v>
      </c>
      <c r="BC286" s="86">
        <f t="shared" si="730"/>
        <v>0</v>
      </c>
      <c r="BD286" s="86">
        <f t="shared" si="730"/>
        <v>0</v>
      </c>
      <c r="BE286" s="86">
        <f t="shared" si="730"/>
        <v>0</v>
      </c>
      <c r="BF286" s="86">
        <f>SUM(BF277:BF285)</f>
        <v>0</v>
      </c>
    </row>
    <row r="287" spans="1:58" ht="14.1" customHeight="1">
      <c r="A287" s="412">
        <f t="shared" si="716"/>
        <v>281</v>
      </c>
      <c r="B287" s="57"/>
      <c r="C287" s="156"/>
      <c r="D287" s="156"/>
      <c r="E287" s="156"/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56"/>
      <c r="R287" s="156"/>
      <c r="S287" s="156"/>
      <c r="T287" s="156"/>
      <c r="U287" s="156"/>
      <c r="V287" s="156"/>
      <c r="W287" s="156"/>
      <c r="X287" s="156"/>
      <c r="Y287" s="156"/>
      <c r="Z287" s="156"/>
      <c r="AA287" s="156"/>
      <c r="AB287" s="156"/>
      <c r="AC287" s="156"/>
      <c r="AD287" s="156"/>
      <c r="AE287" s="156"/>
      <c r="AF287" s="156"/>
      <c r="AG287" s="156"/>
      <c r="AH287" s="156"/>
      <c r="AI287" s="156"/>
      <c r="AJ287" s="156"/>
      <c r="AK287" s="156"/>
      <c r="AL287" s="156"/>
      <c r="AM287" s="156"/>
      <c r="AN287" s="156"/>
      <c r="AO287" s="156"/>
      <c r="AP287" s="156"/>
      <c r="AQ287" s="156"/>
      <c r="AR287" s="156"/>
      <c r="AS287" s="156"/>
      <c r="AT287" s="156"/>
      <c r="AU287" s="156"/>
      <c r="AV287" s="156"/>
      <c r="AW287" s="156"/>
      <c r="AX287" s="156"/>
      <c r="AY287" s="156"/>
      <c r="AZ287" s="156"/>
      <c r="BA287" s="156"/>
      <c r="BB287" s="156"/>
      <c r="BC287" s="156"/>
      <c r="BD287" s="156"/>
      <c r="BE287" s="156"/>
      <c r="BF287" s="156"/>
    </row>
    <row r="288" spans="1:58" ht="14.1" customHeight="1">
      <c r="A288" s="412">
        <f t="shared" si="716"/>
        <v>282</v>
      </c>
      <c r="B288" s="20" t="s">
        <v>501</v>
      </c>
      <c r="C288" s="16">
        <f>SUM(C262:C263,C274,C286)</f>
        <v>-15328304</v>
      </c>
      <c r="D288" s="16">
        <f>SUM(D262:D263,D274,D286)</f>
        <v>0</v>
      </c>
      <c r="E288" s="16">
        <f>SUM(E262:E263,E274,E286)</f>
        <v>0</v>
      </c>
      <c r="F288" s="16">
        <f t="shared" ref="F288" si="738">SUM(F262:F263,F274,F286)</f>
        <v>0</v>
      </c>
      <c r="G288" s="16">
        <f t="shared" ref="G288" si="739">SUM(G262:G263,G274,G286)</f>
        <v>0</v>
      </c>
      <c r="H288" s="16">
        <f t="shared" ref="H288:BE288" si="740">SUM(H262:H263,H274,H286)</f>
        <v>0</v>
      </c>
      <c r="I288" s="16">
        <f>SUM(I262:I263,I274,I286)</f>
        <v>0</v>
      </c>
      <c r="J288" s="16">
        <f>SUM(J262:J263,J274,J286)</f>
        <v>0</v>
      </c>
      <c r="K288" s="16">
        <f>SUM(K262:K263,K274,K286)</f>
        <v>0</v>
      </c>
      <c r="L288" s="16">
        <f t="shared" ref="L288" si="741">SUM(L262:L263,L274,L286)</f>
        <v>0</v>
      </c>
      <c r="M288" s="16">
        <f>SUM(M262:M263,M274,M286)</f>
        <v>-12563569</v>
      </c>
      <c r="N288" s="16">
        <f>SUM(N262:N263,N274,N286)</f>
        <v>0</v>
      </c>
      <c r="O288" s="16">
        <f t="shared" ref="O288:AB288" si="742">SUM(O262:O263,O274,O286)</f>
        <v>0</v>
      </c>
      <c r="P288" s="16">
        <f t="shared" si="742"/>
        <v>0</v>
      </c>
      <c r="Q288" s="16">
        <f t="shared" si="742"/>
        <v>0</v>
      </c>
      <c r="R288" s="16">
        <f t="shared" si="742"/>
        <v>0</v>
      </c>
      <c r="S288" s="16">
        <f t="shared" si="742"/>
        <v>0</v>
      </c>
      <c r="T288" s="16">
        <f t="shared" si="742"/>
        <v>0</v>
      </c>
      <c r="U288" s="16">
        <f t="shared" si="742"/>
        <v>0</v>
      </c>
      <c r="V288" s="16">
        <f t="shared" si="742"/>
        <v>0</v>
      </c>
      <c r="W288" s="16">
        <f t="shared" si="742"/>
        <v>0</v>
      </c>
      <c r="X288" s="16">
        <f t="shared" si="742"/>
        <v>0</v>
      </c>
      <c r="Y288" s="16">
        <f t="shared" si="742"/>
        <v>0</v>
      </c>
      <c r="Z288" s="16">
        <f t="shared" si="742"/>
        <v>0</v>
      </c>
      <c r="AA288" s="16">
        <f t="shared" si="742"/>
        <v>0</v>
      </c>
      <c r="AB288" s="16">
        <f t="shared" si="742"/>
        <v>0</v>
      </c>
      <c r="AC288" s="16">
        <f t="shared" ref="AC288" si="743">SUM(AC262:AC263,AC274,AC286)</f>
        <v>0</v>
      </c>
      <c r="AD288" s="16">
        <f>SUM(AD262:AD263,AD274,AD286)</f>
        <v>0</v>
      </c>
      <c r="AE288" s="16">
        <f>SUM(AE262:AE263,AE274,AE286)</f>
        <v>-3297104</v>
      </c>
      <c r="AF288" s="16">
        <f t="shared" ref="AF288" si="744">SUM(AF262:AF263,AF274,AF286)</f>
        <v>0</v>
      </c>
      <c r="AG288" s="16">
        <f t="shared" ref="AG288" si="745">SUM(AG262:AG263,AG274,AG286)</f>
        <v>0</v>
      </c>
      <c r="AH288" s="16">
        <f>SUM(AH262:AH263,AH274,AH286)</f>
        <v>0</v>
      </c>
      <c r="AI288" s="16">
        <f>SUM(AI262:AI263,AI274,AI286)</f>
        <v>0</v>
      </c>
      <c r="AJ288" s="16">
        <f t="shared" ref="AJ288" si="746">SUM(AJ262:AJ263,AJ274,AJ286)</f>
        <v>0</v>
      </c>
      <c r="AK288" s="16">
        <f t="shared" ref="AK288:AU288" si="747">SUM(AK262:AK263,AK274,AK286)</f>
        <v>0</v>
      </c>
      <c r="AL288" s="16">
        <f t="shared" si="747"/>
        <v>0</v>
      </c>
      <c r="AM288" s="16">
        <f t="shared" si="747"/>
        <v>0</v>
      </c>
      <c r="AN288" s="16">
        <f t="shared" si="747"/>
        <v>0</v>
      </c>
      <c r="AO288" s="16">
        <f t="shared" si="747"/>
        <v>0</v>
      </c>
      <c r="AP288" s="16">
        <f>SUM(AP262:AP263,AP274,AP286)</f>
        <v>532369</v>
      </c>
      <c r="AQ288" s="16">
        <f t="shared" si="747"/>
        <v>0</v>
      </c>
      <c r="AR288" s="16">
        <f t="shared" si="747"/>
        <v>0</v>
      </c>
      <c r="AS288" s="16">
        <f t="shared" si="747"/>
        <v>0</v>
      </c>
      <c r="AT288" s="16">
        <f t="shared" si="747"/>
        <v>0</v>
      </c>
      <c r="AU288" s="16">
        <f t="shared" si="747"/>
        <v>0</v>
      </c>
      <c r="AV288" s="16">
        <f>SUM(AV262:AV263,AV274,AV286)</f>
        <v>0</v>
      </c>
      <c r="AW288" s="16">
        <f>SUM(AW262:AW263,AW274,AW286)</f>
        <v>0</v>
      </c>
      <c r="AX288" s="16">
        <f t="shared" si="740"/>
        <v>0</v>
      </c>
      <c r="AY288" s="16">
        <f t="shared" si="740"/>
        <v>0</v>
      </c>
      <c r="AZ288" s="16">
        <f t="shared" si="740"/>
        <v>0</v>
      </c>
      <c r="BA288" s="16">
        <f t="shared" si="740"/>
        <v>0</v>
      </c>
      <c r="BB288" s="16">
        <f t="shared" si="740"/>
        <v>0</v>
      </c>
      <c r="BC288" s="16">
        <f t="shared" si="740"/>
        <v>0</v>
      </c>
      <c r="BD288" s="16">
        <f t="shared" si="740"/>
        <v>0</v>
      </c>
      <c r="BE288" s="16">
        <f t="shared" si="740"/>
        <v>0</v>
      </c>
      <c r="BF288" s="16">
        <f>SUM(BF262:BF263,BF274,BF286)</f>
        <v>0</v>
      </c>
    </row>
    <row r="289" spans="1:58" ht="14.1" customHeight="1">
      <c r="A289" s="412">
        <f t="shared" si="716"/>
        <v>283</v>
      </c>
      <c r="B289" s="57"/>
      <c r="C289" s="156"/>
      <c r="D289" s="156"/>
      <c r="E289" s="156"/>
      <c r="F289" s="156"/>
      <c r="G289" s="156"/>
      <c r="H289" s="156"/>
      <c r="I289" s="156"/>
      <c r="J289" s="156"/>
      <c r="K289" s="156"/>
      <c r="L289" s="156"/>
      <c r="M289" s="156"/>
      <c r="N289" s="156"/>
      <c r="O289" s="156"/>
      <c r="P289" s="156"/>
      <c r="Q289" s="156"/>
      <c r="R289" s="156"/>
      <c r="S289" s="156"/>
      <c r="T289" s="156"/>
      <c r="U289" s="156"/>
      <c r="V289" s="156"/>
      <c r="W289" s="156"/>
      <c r="X289" s="156"/>
      <c r="Y289" s="156"/>
      <c r="Z289" s="156"/>
      <c r="AA289" s="156"/>
      <c r="AB289" s="156"/>
      <c r="AC289" s="156"/>
      <c r="AD289" s="156"/>
      <c r="AE289" s="156"/>
      <c r="AF289" s="156"/>
      <c r="AG289" s="156"/>
      <c r="AH289" s="156"/>
      <c r="AI289" s="156"/>
      <c r="AJ289" s="156"/>
      <c r="AK289" s="156"/>
      <c r="AL289" s="156"/>
      <c r="AM289" s="156"/>
      <c r="AN289" s="156"/>
      <c r="AO289" s="156"/>
      <c r="AP289" s="156"/>
      <c r="AQ289" s="156"/>
      <c r="AR289" s="156"/>
      <c r="AS289" s="156"/>
      <c r="AT289" s="156"/>
      <c r="AU289" s="156"/>
      <c r="AV289" s="156"/>
      <c r="AW289" s="156"/>
      <c r="AX289" s="156"/>
      <c r="AY289" s="156"/>
      <c r="AZ289" s="156"/>
      <c r="BA289" s="156"/>
      <c r="BB289" s="156"/>
      <c r="BC289" s="156"/>
      <c r="BD289" s="156"/>
      <c r="BE289" s="156"/>
      <c r="BF289" s="156"/>
    </row>
    <row r="290" spans="1:58" ht="14.1" customHeight="1">
      <c r="A290" s="412">
        <f t="shared" si="716"/>
        <v>284</v>
      </c>
      <c r="B290" s="20" t="s">
        <v>502</v>
      </c>
      <c r="C290" s="16">
        <f>+C251+C252+C253+C259+C288</f>
        <v>-73937665.050000012</v>
      </c>
      <c r="D290" s="16">
        <f>+D251+D252+D253+D259+D288</f>
        <v>-6396832</v>
      </c>
      <c r="E290" s="16">
        <f>+E251+E252+E253+E259+E288</f>
        <v>-16524933</v>
      </c>
      <c r="F290" s="16">
        <f t="shared" ref="F290" si="748">+F251+F252+F253+F259+F288</f>
        <v>0</v>
      </c>
      <c r="G290" s="16">
        <f t="shared" ref="G290" si="749">+G251+G252+G253+G259+G288</f>
        <v>0</v>
      </c>
      <c r="H290" s="16">
        <f t="shared" ref="H290:BE290" si="750">+H251+H252+H253+H259+H288</f>
        <v>-38428928</v>
      </c>
      <c r="I290" s="16">
        <f>+I251+I252+I253+I259+I288</f>
        <v>0</v>
      </c>
      <c r="J290" s="16">
        <f>+J251+J252+J253+J259+J288</f>
        <v>4574472</v>
      </c>
      <c r="K290" s="16">
        <f>+K251+K252+K253+K259+K288</f>
        <v>-8974731</v>
      </c>
      <c r="L290" s="16">
        <f t="shared" ref="L290" si="751">+L251+L252+L253+L259+L288</f>
        <v>0</v>
      </c>
      <c r="M290" s="16">
        <f t="shared" ref="M290:AB290" si="752">+M251+M252+M253+M259+M288</f>
        <v>-12563569</v>
      </c>
      <c r="N290" s="16">
        <f t="shared" si="752"/>
        <v>-246772</v>
      </c>
      <c r="O290" s="16">
        <f t="shared" si="752"/>
        <v>-303011</v>
      </c>
      <c r="P290" s="16">
        <f t="shared" si="752"/>
        <v>1025522.14</v>
      </c>
      <c r="Q290" s="16">
        <f t="shared" si="752"/>
        <v>-3265666.33</v>
      </c>
      <c r="R290" s="16">
        <f t="shared" si="752"/>
        <v>10325612.33</v>
      </c>
      <c r="S290" s="16">
        <f t="shared" si="752"/>
        <v>0</v>
      </c>
      <c r="T290" s="50">
        <f t="shared" si="752"/>
        <v>0</v>
      </c>
      <c r="U290" s="50">
        <f t="shared" si="752"/>
        <v>0</v>
      </c>
      <c r="V290" s="50">
        <f t="shared" si="752"/>
        <v>0</v>
      </c>
      <c r="W290" s="50">
        <f t="shared" si="752"/>
        <v>0</v>
      </c>
      <c r="X290" s="50">
        <f t="shared" si="752"/>
        <v>0</v>
      </c>
      <c r="Y290" s="50">
        <f t="shared" si="752"/>
        <v>0</v>
      </c>
      <c r="Z290" s="16">
        <f t="shared" si="752"/>
        <v>0</v>
      </c>
      <c r="AA290" s="16">
        <f t="shared" si="752"/>
        <v>0</v>
      </c>
      <c r="AB290" s="16">
        <f t="shared" si="752"/>
        <v>-331506.09999999998</v>
      </c>
      <c r="AC290" s="16">
        <f t="shared" ref="AC290" si="753">+AC251+AC252+AC253+AC259+AC288</f>
        <v>0</v>
      </c>
      <c r="AD290" s="16">
        <f>+AD251+AD252+AD253+AD259+AD288</f>
        <v>0</v>
      </c>
      <c r="AE290" s="16">
        <f>+AE251+AE252+AE253+AE259+AE288</f>
        <v>-3297104</v>
      </c>
      <c r="AF290" s="16">
        <f t="shared" ref="AF290" si="754">+AF251+AF252+AF253+AF259+AF288</f>
        <v>0</v>
      </c>
      <c r="AG290" s="16">
        <f t="shared" ref="AG290" si="755">+AG251+AG252+AG253+AG259+AG288</f>
        <v>0</v>
      </c>
      <c r="AH290" s="16">
        <f>+AH251+AH252+AH253+AH259+AH288</f>
        <v>0</v>
      </c>
      <c r="AI290" s="16">
        <f>+AI251+AI252+AI253+AI259+AI288</f>
        <v>0</v>
      </c>
      <c r="AJ290" s="16">
        <f t="shared" ref="AJ290" si="756">+AJ251+AJ252+AJ253+AJ259+AJ288</f>
        <v>0</v>
      </c>
      <c r="AK290" s="16">
        <f t="shared" ref="AK290:AU290" si="757">+AK251+AK252+AK253+AK259+AK288</f>
        <v>0</v>
      </c>
      <c r="AL290" s="16">
        <f t="shared" si="757"/>
        <v>0</v>
      </c>
      <c r="AM290" s="16">
        <f t="shared" si="757"/>
        <v>0</v>
      </c>
      <c r="AN290" s="16">
        <f t="shared" si="757"/>
        <v>0</v>
      </c>
      <c r="AO290" s="16">
        <f t="shared" si="757"/>
        <v>0</v>
      </c>
      <c r="AP290" s="16">
        <f>+AP251+AP252+AP253+AP259+AP288</f>
        <v>532369</v>
      </c>
      <c r="AQ290" s="16">
        <f t="shared" si="757"/>
        <v>0</v>
      </c>
      <c r="AR290" s="16">
        <f t="shared" si="757"/>
        <v>0</v>
      </c>
      <c r="AS290" s="16">
        <f t="shared" si="757"/>
        <v>0</v>
      </c>
      <c r="AT290" s="16">
        <f t="shared" si="757"/>
        <v>0</v>
      </c>
      <c r="AU290" s="16">
        <f t="shared" si="757"/>
        <v>0</v>
      </c>
      <c r="AV290" s="16">
        <f>+AV251+AV252+AV253+AV259+AV288</f>
        <v>0</v>
      </c>
      <c r="AW290" s="16">
        <f>+AW251+AW252+AW253+AW259+AW288</f>
        <v>0</v>
      </c>
      <c r="AX290" s="16">
        <f t="shared" si="750"/>
        <v>-62588.09</v>
      </c>
      <c r="AY290" s="16">
        <f t="shared" si="750"/>
        <v>0</v>
      </c>
      <c r="AZ290" s="50">
        <f t="shared" si="750"/>
        <v>0</v>
      </c>
      <c r="BA290" s="16">
        <f t="shared" si="750"/>
        <v>0</v>
      </c>
      <c r="BB290" s="16">
        <f t="shared" si="750"/>
        <v>0</v>
      </c>
      <c r="BC290" s="16">
        <f t="shared" si="750"/>
        <v>0</v>
      </c>
      <c r="BD290" s="16">
        <f t="shared" si="750"/>
        <v>0</v>
      </c>
      <c r="BE290" s="16">
        <f t="shared" si="750"/>
        <v>0</v>
      </c>
      <c r="BF290" s="16">
        <f>+BF251+BF252+BF253+BF259+BF288</f>
        <v>0</v>
      </c>
    </row>
    <row r="291" spans="1:58" ht="14.1" customHeight="1">
      <c r="A291" s="412">
        <f t="shared" si="716"/>
        <v>285</v>
      </c>
      <c r="B291" s="22"/>
      <c r="C291" s="22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</row>
    <row r="292" spans="1:58" ht="14.1" customHeight="1">
      <c r="A292" s="412">
        <f t="shared" si="716"/>
        <v>286</v>
      </c>
      <c r="B292" s="42" t="s">
        <v>187</v>
      </c>
      <c r="C292" s="42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</row>
    <row r="293" spans="1:58" ht="14.1" customHeight="1">
      <c r="A293" s="412">
        <f t="shared" si="716"/>
        <v>287</v>
      </c>
      <c r="B293" s="13" t="s">
        <v>188</v>
      </c>
      <c r="C293" s="13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</row>
    <row r="294" spans="1:58" ht="14.1" customHeight="1">
      <c r="A294" s="412">
        <f t="shared" si="716"/>
        <v>288</v>
      </c>
      <c r="B294" s="22" t="s">
        <v>189</v>
      </c>
      <c r="C294" s="38">
        <f t="shared" ref="C294:C306" si="758">SUM(D294:BF294)</f>
        <v>-18988.510000000002</v>
      </c>
      <c r="D294" s="10">
        <v>0</v>
      </c>
      <c r="E294" s="10">
        <f>-1168+-887</f>
        <v>-2055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-785.51</v>
      </c>
      <c r="Z294" s="10">
        <v>0</v>
      </c>
      <c r="AA294" s="10">
        <v>0</v>
      </c>
      <c r="AB294" s="10">
        <v>0</v>
      </c>
      <c r="AC294" s="10">
        <v>0</v>
      </c>
      <c r="AD294" s="10">
        <v>0</v>
      </c>
      <c r="AE294" s="10">
        <v>0</v>
      </c>
      <c r="AF294" s="10">
        <v>0</v>
      </c>
      <c r="AG294" s="10">
        <v>0</v>
      </c>
      <c r="AH294" s="10">
        <v>0</v>
      </c>
      <c r="AI294" s="10">
        <v>-16148</v>
      </c>
      <c r="AJ294" s="436"/>
      <c r="AK294" s="10">
        <v>0</v>
      </c>
      <c r="AL294" s="10">
        <v>0</v>
      </c>
      <c r="AM294" s="10">
        <v>0</v>
      </c>
      <c r="AN294" s="10">
        <v>0</v>
      </c>
      <c r="AO294" s="10">
        <v>0</v>
      </c>
      <c r="AP294" s="10">
        <v>0</v>
      </c>
      <c r="AQ294" s="10">
        <v>0</v>
      </c>
      <c r="AR294" s="10">
        <v>0</v>
      </c>
      <c r="AS294" s="10">
        <v>0</v>
      </c>
      <c r="AT294" s="10">
        <v>0</v>
      </c>
      <c r="AU294" s="10">
        <v>0</v>
      </c>
      <c r="AV294" s="10">
        <v>0</v>
      </c>
      <c r="AW294" s="10">
        <v>0</v>
      </c>
      <c r="AX294" s="10">
        <v>0</v>
      </c>
      <c r="AY294" s="10">
        <v>0</v>
      </c>
      <c r="AZ294" s="10">
        <v>0</v>
      </c>
      <c r="BA294" s="10">
        <v>0</v>
      </c>
      <c r="BB294" s="10">
        <v>0</v>
      </c>
      <c r="BC294" s="10">
        <v>0</v>
      </c>
      <c r="BD294" s="10">
        <v>0</v>
      </c>
      <c r="BE294" s="10">
        <v>0</v>
      </c>
      <c r="BF294" s="10">
        <v>0</v>
      </c>
    </row>
    <row r="295" spans="1:58" ht="14.1" customHeight="1">
      <c r="A295" s="412">
        <f t="shared" si="716"/>
        <v>289</v>
      </c>
      <c r="B295" s="22" t="s">
        <v>383</v>
      </c>
      <c r="C295" s="38">
        <f t="shared" si="758"/>
        <v>-11386.39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258.61</v>
      </c>
      <c r="Z295" s="10">
        <v>0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f>-1658+-9987</f>
        <v>-11645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v>0</v>
      </c>
      <c r="AU295" s="10">
        <v>0</v>
      </c>
      <c r="AV295" s="10">
        <v>0</v>
      </c>
      <c r="AW295" s="10">
        <v>0</v>
      </c>
      <c r="AX295" s="10">
        <v>0</v>
      </c>
      <c r="AY295" s="10">
        <v>0</v>
      </c>
      <c r="AZ295" s="10">
        <v>0</v>
      </c>
      <c r="BA295" s="10">
        <v>0</v>
      </c>
      <c r="BB295" s="10">
        <v>0</v>
      </c>
      <c r="BC295" s="10">
        <v>0</v>
      </c>
      <c r="BD295" s="10">
        <v>0</v>
      </c>
      <c r="BE295" s="10">
        <v>0</v>
      </c>
      <c r="BF295" s="10">
        <v>0</v>
      </c>
    </row>
    <row r="296" spans="1:58" ht="14.1" customHeight="1">
      <c r="A296" s="412">
        <f t="shared" si="716"/>
        <v>290</v>
      </c>
      <c r="B296" s="22" t="s">
        <v>894</v>
      </c>
      <c r="C296" s="38">
        <f t="shared" si="758"/>
        <v>0</v>
      </c>
      <c r="D296" s="10">
        <v>0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0</v>
      </c>
      <c r="Z296" s="10">
        <v>0</v>
      </c>
      <c r="AA296" s="10">
        <v>0</v>
      </c>
      <c r="AB296" s="10">
        <v>0</v>
      </c>
      <c r="AC296" s="10">
        <v>0</v>
      </c>
      <c r="AD296" s="10">
        <v>0</v>
      </c>
      <c r="AE296" s="10">
        <v>0</v>
      </c>
      <c r="AF296" s="10">
        <v>0</v>
      </c>
      <c r="AG296" s="10">
        <v>0</v>
      </c>
      <c r="AH296" s="10">
        <v>0</v>
      </c>
      <c r="AI296" s="10">
        <v>0</v>
      </c>
      <c r="AJ296" s="10">
        <v>0</v>
      </c>
      <c r="AK296" s="10">
        <v>0</v>
      </c>
      <c r="AL296" s="10">
        <v>0</v>
      </c>
      <c r="AM296" s="10">
        <v>0</v>
      </c>
      <c r="AN296" s="10">
        <v>0</v>
      </c>
      <c r="AO296" s="10">
        <v>0</v>
      </c>
      <c r="AP296" s="10">
        <v>0</v>
      </c>
      <c r="AQ296" s="10">
        <v>0</v>
      </c>
      <c r="AR296" s="10">
        <v>0</v>
      </c>
      <c r="AS296" s="10">
        <v>0</v>
      </c>
      <c r="AT296" s="10">
        <v>0</v>
      </c>
      <c r="AU296" s="10">
        <v>0</v>
      </c>
      <c r="AV296" s="10">
        <v>0</v>
      </c>
      <c r="AW296" s="10">
        <v>0</v>
      </c>
      <c r="AX296" s="10">
        <v>0</v>
      </c>
      <c r="AY296" s="10">
        <v>0</v>
      </c>
      <c r="AZ296" s="10">
        <v>0</v>
      </c>
      <c r="BA296" s="10">
        <v>0</v>
      </c>
      <c r="BB296" s="10">
        <v>0</v>
      </c>
      <c r="BC296" s="10">
        <v>0</v>
      </c>
      <c r="BD296" s="10">
        <v>0</v>
      </c>
      <c r="BE296" s="10">
        <v>0</v>
      </c>
      <c r="BF296" s="10">
        <v>0</v>
      </c>
    </row>
    <row r="297" spans="1:58" ht="14.1" customHeight="1">
      <c r="A297" s="412">
        <f t="shared" si="716"/>
        <v>291</v>
      </c>
      <c r="B297" s="22" t="s">
        <v>384</v>
      </c>
      <c r="C297" s="38">
        <f t="shared" si="758"/>
        <v>361379</v>
      </c>
      <c r="D297" s="10">
        <v>0</v>
      </c>
      <c r="E297" s="10">
        <v>0</v>
      </c>
      <c r="F297" s="10">
        <v>361379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0</v>
      </c>
      <c r="T297" s="10">
        <v>0</v>
      </c>
      <c r="U297" s="10">
        <v>0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0">
        <v>0</v>
      </c>
      <c r="AV297" s="10">
        <v>0</v>
      </c>
      <c r="AW297" s="10">
        <v>0</v>
      </c>
      <c r="AX297" s="10">
        <v>0</v>
      </c>
      <c r="AY297" s="10">
        <v>0</v>
      </c>
      <c r="AZ297" s="10">
        <v>0</v>
      </c>
      <c r="BA297" s="10">
        <v>0</v>
      </c>
      <c r="BB297" s="10">
        <v>0</v>
      </c>
      <c r="BC297" s="10">
        <v>0</v>
      </c>
      <c r="BD297" s="10">
        <v>0</v>
      </c>
      <c r="BE297" s="10">
        <v>0</v>
      </c>
      <c r="BF297" s="10">
        <v>0</v>
      </c>
    </row>
    <row r="298" spans="1:58" s="21" customFormat="1" ht="14.1" customHeight="1">
      <c r="A298" s="412">
        <f t="shared" si="716"/>
        <v>292</v>
      </c>
      <c r="B298" s="22" t="s">
        <v>320</v>
      </c>
      <c r="C298" s="38">
        <f t="shared" si="758"/>
        <v>2385816.3200000003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2211941.64</v>
      </c>
      <c r="K298" s="10">
        <v>173874.68</v>
      </c>
      <c r="L298" s="10">
        <v>0</v>
      </c>
      <c r="M298" s="10">
        <v>0</v>
      </c>
      <c r="N298" s="10">
        <v>0</v>
      </c>
      <c r="O298" s="10">
        <v>0</v>
      </c>
      <c r="P298" s="10">
        <v>0</v>
      </c>
      <c r="Q298" s="10">
        <v>0</v>
      </c>
      <c r="R298" s="10">
        <v>0</v>
      </c>
      <c r="S298" s="10">
        <v>0</v>
      </c>
      <c r="T298" s="10">
        <v>0</v>
      </c>
      <c r="U298" s="10">
        <v>0</v>
      </c>
      <c r="V298" s="10">
        <v>0</v>
      </c>
      <c r="W298" s="10">
        <v>0</v>
      </c>
      <c r="X298" s="10">
        <v>0</v>
      </c>
      <c r="Y298" s="10">
        <v>0</v>
      </c>
      <c r="Z298" s="10">
        <v>0</v>
      </c>
      <c r="AA298" s="10">
        <v>0</v>
      </c>
      <c r="AB298" s="10">
        <v>0</v>
      </c>
      <c r="AC298" s="10">
        <v>0</v>
      </c>
      <c r="AD298" s="10">
        <v>0</v>
      </c>
      <c r="AE298" s="10">
        <v>0</v>
      </c>
      <c r="AF298" s="10">
        <v>0</v>
      </c>
      <c r="AG298" s="10">
        <v>0</v>
      </c>
      <c r="AH298" s="10">
        <v>0</v>
      </c>
      <c r="AI298" s="10">
        <v>0</v>
      </c>
      <c r="AJ298" s="10">
        <v>0</v>
      </c>
      <c r="AK298" s="10">
        <v>0</v>
      </c>
      <c r="AL298" s="10">
        <v>0</v>
      </c>
      <c r="AM298" s="10">
        <v>0</v>
      </c>
      <c r="AN298" s="10">
        <v>0</v>
      </c>
      <c r="AO298" s="10">
        <v>0</v>
      </c>
      <c r="AP298" s="10">
        <v>0</v>
      </c>
      <c r="AQ298" s="10">
        <v>0</v>
      </c>
      <c r="AR298" s="10">
        <v>0</v>
      </c>
      <c r="AS298" s="10">
        <v>0</v>
      </c>
      <c r="AT298" s="10">
        <v>0</v>
      </c>
      <c r="AU298" s="10">
        <v>0</v>
      </c>
      <c r="AV298" s="10">
        <v>0</v>
      </c>
      <c r="AW298" s="10">
        <v>0</v>
      </c>
      <c r="AX298" s="10">
        <v>0</v>
      </c>
      <c r="AY298" s="10">
        <v>0</v>
      </c>
      <c r="AZ298" s="10">
        <v>0</v>
      </c>
      <c r="BA298" s="10">
        <v>0</v>
      </c>
      <c r="BB298" s="10">
        <v>0</v>
      </c>
      <c r="BC298" s="10">
        <v>0</v>
      </c>
      <c r="BD298" s="10">
        <v>0</v>
      </c>
      <c r="BE298" s="10">
        <v>0</v>
      </c>
      <c r="BF298" s="10">
        <v>0</v>
      </c>
    </row>
    <row r="299" spans="1:58" ht="14.1" customHeight="1">
      <c r="A299" s="412">
        <f t="shared" si="716"/>
        <v>293</v>
      </c>
      <c r="B299" s="22" t="s">
        <v>707</v>
      </c>
      <c r="C299" s="38">
        <f t="shared" si="758"/>
        <v>-3609485.8000000003</v>
      </c>
      <c r="D299" s="10">
        <v>0</v>
      </c>
      <c r="E299" s="10">
        <v>0</v>
      </c>
      <c r="F299" s="10">
        <v>-2973902</v>
      </c>
      <c r="G299" s="10">
        <v>0</v>
      </c>
      <c r="H299" s="10">
        <v>-614836.74</v>
      </c>
      <c r="I299" s="10">
        <v>0</v>
      </c>
      <c r="J299" s="10">
        <v>0</v>
      </c>
      <c r="K299" s="10">
        <v>0</v>
      </c>
      <c r="L299" s="10">
        <v>0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0</v>
      </c>
      <c r="T299" s="10">
        <v>0</v>
      </c>
      <c r="U299" s="10">
        <v>0</v>
      </c>
      <c r="V299" s="10">
        <v>0</v>
      </c>
      <c r="W299" s="10">
        <v>0</v>
      </c>
      <c r="X299" s="10">
        <v>0</v>
      </c>
      <c r="Y299" s="10">
        <v>517.94000000000005</v>
      </c>
      <c r="Z299" s="10">
        <v>0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f>-18164+-14+-13+-24+-3050</f>
        <v>-21265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v>0</v>
      </c>
      <c r="AV299" s="10">
        <v>0</v>
      </c>
      <c r="AW299" s="10">
        <v>0</v>
      </c>
      <c r="AX299" s="10">
        <v>0</v>
      </c>
      <c r="AY299" s="10">
        <v>0</v>
      </c>
      <c r="AZ299" s="10">
        <v>0</v>
      </c>
      <c r="BA299" s="10">
        <v>0</v>
      </c>
      <c r="BB299" s="10">
        <v>0</v>
      </c>
      <c r="BC299" s="10">
        <v>0</v>
      </c>
      <c r="BD299" s="10">
        <v>0</v>
      </c>
      <c r="BE299" s="10">
        <v>0</v>
      </c>
      <c r="BF299" s="10">
        <v>0</v>
      </c>
    </row>
    <row r="300" spans="1:58" ht="14.1" customHeight="1">
      <c r="A300" s="412">
        <f t="shared" si="716"/>
        <v>294</v>
      </c>
      <c r="B300" s="22" t="s">
        <v>190</v>
      </c>
      <c r="C300" s="38">
        <f t="shared" si="758"/>
        <v>0</v>
      </c>
      <c r="D300" s="10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10">
        <v>0</v>
      </c>
      <c r="N300" s="10">
        <v>0</v>
      </c>
      <c r="O300" s="10">
        <v>0</v>
      </c>
      <c r="P300" s="10">
        <v>0</v>
      </c>
      <c r="Q300" s="10">
        <v>0</v>
      </c>
      <c r="R300" s="10">
        <v>0</v>
      </c>
      <c r="S300" s="10">
        <v>0</v>
      </c>
      <c r="T300" s="10">
        <v>0</v>
      </c>
      <c r="U300" s="10">
        <v>0</v>
      </c>
      <c r="V300" s="10">
        <v>0</v>
      </c>
      <c r="W300" s="10">
        <v>0</v>
      </c>
      <c r="X300" s="10">
        <v>0</v>
      </c>
      <c r="Y300" s="10">
        <v>0</v>
      </c>
      <c r="Z300" s="10">
        <v>0</v>
      </c>
      <c r="AA300" s="10">
        <v>0</v>
      </c>
      <c r="AB300" s="10">
        <v>0</v>
      </c>
      <c r="AC300" s="10">
        <v>0</v>
      </c>
      <c r="AD300" s="10">
        <v>0</v>
      </c>
      <c r="AE300" s="10">
        <v>0</v>
      </c>
      <c r="AF300" s="10">
        <v>0</v>
      </c>
      <c r="AG300" s="10">
        <v>0</v>
      </c>
      <c r="AH300" s="10">
        <v>0</v>
      </c>
      <c r="AI300" s="10">
        <v>0</v>
      </c>
      <c r="AJ300" s="10">
        <v>0</v>
      </c>
      <c r="AK300" s="10">
        <v>0</v>
      </c>
      <c r="AL300" s="10">
        <v>0</v>
      </c>
      <c r="AM300" s="10">
        <v>0</v>
      </c>
      <c r="AN300" s="10">
        <v>0</v>
      </c>
      <c r="AO300" s="10">
        <v>0</v>
      </c>
      <c r="AP300" s="10">
        <v>0</v>
      </c>
      <c r="AQ300" s="10">
        <v>0</v>
      </c>
      <c r="AR300" s="10">
        <v>0</v>
      </c>
      <c r="AS300" s="10">
        <v>0</v>
      </c>
      <c r="AT300" s="10">
        <v>0</v>
      </c>
      <c r="AU300" s="10">
        <v>0</v>
      </c>
      <c r="AV300" s="10">
        <v>0</v>
      </c>
      <c r="AW300" s="10">
        <v>0</v>
      </c>
      <c r="AX300" s="10">
        <v>0</v>
      </c>
      <c r="AY300" s="10">
        <v>0</v>
      </c>
      <c r="AZ300" s="10">
        <v>0</v>
      </c>
      <c r="BA300" s="10">
        <v>0</v>
      </c>
      <c r="BB300" s="10">
        <v>0</v>
      </c>
      <c r="BC300" s="10">
        <v>0</v>
      </c>
      <c r="BD300" s="10">
        <v>0</v>
      </c>
      <c r="BE300" s="10">
        <v>0</v>
      </c>
      <c r="BF300" s="10">
        <v>0</v>
      </c>
    </row>
    <row r="301" spans="1:58" ht="14.1" customHeight="1">
      <c r="A301" s="412">
        <f t="shared" si="716"/>
        <v>295</v>
      </c>
      <c r="B301" s="22" t="s">
        <v>191</v>
      </c>
      <c r="C301" s="38">
        <f t="shared" si="758"/>
        <v>0</v>
      </c>
      <c r="D301" s="10">
        <v>0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0</v>
      </c>
      <c r="T301" s="10">
        <v>0</v>
      </c>
      <c r="U301" s="10">
        <v>0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0</v>
      </c>
      <c r="AT301" s="10">
        <v>0</v>
      </c>
      <c r="AU301" s="10">
        <v>0</v>
      </c>
      <c r="AV301" s="10">
        <v>0</v>
      </c>
      <c r="AW301" s="10">
        <v>0</v>
      </c>
      <c r="AX301" s="10">
        <v>0</v>
      </c>
      <c r="AY301" s="10">
        <v>0</v>
      </c>
      <c r="AZ301" s="10">
        <v>0</v>
      </c>
      <c r="BA301" s="10">
        <v>0</v>
      </c>
      <c r="BB301" s="10">
        <v>0</v>
      </c>
      <c r="BC301" s="10">
        <v>0</v>
      </c>
      <c r="BD301" s="10">
        <v>0</v>
      </c>
      <c r="BE301" s="10">
        <v>0</v>
      </c>
      <c r="BF301" s="10">
        <v>0</v>
      </c>
    </row>
    <row r="302" spans="1:58" ht="14.1" customHeight="1">
      <c r="A302" s="412">
        <f t="shared" si="716"/>
        <v>296</v>
      </c>
      <c r="B302" s="22" t="s">
        <v>192</v>
      </c>
      <c r="C302" s="38">
        <f t="shared" si="758"/>
        <v>50.08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0</v>
      </c>
      <c r="N302" s="10">
        <v>0</v>
      </c>
      <c r="O302" s="10">
        <v>0</v>
      </c>
      <c r="P302" s="10">
        <v>0</v>
      </c>
      <c r="Q302" s="10">
        <v>0</v>
      </c>
      <c r="R302" s="10">
        <v>0</v>
      </c>
      <c r="S302" s="10">
        <v>0</v>
      </c>
      <c r="T302" s="10">
        <v>0</v>
      </c>
      <c r="U302" s="10">
        <v>0</v>
      </c>
      <c r="V302" s="10">
        <v>0</v>
      </c>
      <c r="W302" s="10">
        <v>0</v>
      </c>
      <c r="X302" s="10">
        <v>0</v>
      </c>
      <c r="Y302" s="10">
        <v>72.08</v>
      </c>
      <c r="Z302" s="10">
        <v>0</v>
      </c>
      <c r="AA302" s="10">
        <v>0</v>
      </c>
      <c r="AB302" s="10">
        <v>0</v>
      </c>
      <c r="AC302" s="10">
        <v>0</v>
      </c>
      <c r="AD302" s="10">
        <v>0</v>
      </c>
      <c r="AE302" s="10">
        <v>0</v>
      </c>
      <c r="AF302" s="10">
        <v>0</v>
      </c>
      <c r="AG302" s="10">
        <v>0</v>
      </c>
      <c r="AH302" s="10">
        <v>0</v>
      </c>
      <c r="AI302" s="10">
        <v>-22</v>
      </c>
      <c r="AJ302" s="10">
        <v>0</v>
      </c>
      <c r="AK302" s="10">
        <v>0</v>
      </c>
      <c r="AL302" s="10">
        <v>0</v>
      </c>
      <c r="AM302" s="10">
        <v>0</v>
      </c>
      <c r="AN302" s="10">
        <v>0</v>
      </c>
      <c r="AO302" s="10">
        <v>0</v>
      </c>
      <c r="AP302" s="10">
        <v>0</v>
      </c>
      <c r="AQ302" s="10">
        <v>0</v>
      </c>
      <c r="AR302" s="10">
        <v>0</v>
      </c>
      <c r="AS302" s="10">
        <v>0</v>
      </c>
      <c r="AT302" s="10">
        <v>0</v>
      </c>
      <c r="AU302" s="10">
        <v>0</v>
      </c>
      <c r="AV302" s="10">
        <v>0</v>
      </c>
      <c r="AW302" s="10">
        <v>0</v>
      </c>
      <c r="AX302" s="10">
        <v>0</v>
      </c>
      <c r="AY302" s="10">
        <v>0</v>
      </c>
      <c r="AZ302" s="10">
        <v>0</v>
      </c>
      <c r="BA302" s="10">
        <v>0</v>
      </c>
      <c r="BB302" s="10">
        <v>0</v>
      </c>
      <c r="BC302" s="10">
        <v>0</v>
      </c>
      <c r="BD302" s="10">
        <v>0</v>
      </c>
      <c r="BE302" s="10">
        <v>0</v>
      </c>
      <c r="BF302" s="10">
        <v>0</v>
      </c>
    </row>
    <row r="303" spans="1:58" s="21" customFormat="1" ht="14.1" customHeight="1">
      <c r="A303" s="412">
        <f t="shared" si="716"/>
        <v>297</v>
      </c>
      <c r="B303" s="22" t="s">
        <v>193</v>
      </c>
      <c r="C303" s="38">
        <f t="shared" si="758"/>
        <v>-2880083.92</v>
      </c>
      <c r="D303" s="10">
        <v>0</v>
      </c>
      <c r="E303" s="10">
        <v>-35433</v>
      </c>
      <c r="F303" s="10">
        <v>0</v>
      </c>
      <c r="G303" s="10">
        <v>0</v>
      </c>
      <c r="H303" s="10">
        <v>-78585.37</v>
      </c>
      <c r="I303" s="10">
        <v>-2613981</v>
      </c>
      <c r="J303" s="10">
        <v>0</v>
      </c>
      <c r="K303" s="10">
        <v>0</v>
      </c>
      <c r="L303" s="10">
        <v>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0</v>
      </c>
      <c r="T303" s="10">
        <v>0</v>
      </c>
      <c r="U303" s="10">
        <v>0</v>
      </c>
      <c r="V303" s="10">
        <v>0</v>
      </c>
      <c r="W303" s="10">
        <v>0</v>
      </c>
      <c r="X303" s="10">
        <v>0</v>
      </c>
      <c r="Y303" s="10">
        <f>3230.81+7235.64</f>
        <v>10466.450000000001</v>
      </c>
      <c r="Z303" s="10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-35433</v>
      </c>
      <c r="AI303" s="10">
        <v>-127118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  <c r="AU303" s="10">
        <v>0</v>
      </c>
      <c r="AV303" s="10">
        <v>0</v>
      </c>
      <c r="AW303" s="10">
        <v>0</v>
      </c>
      <c r="AX303" s="10">
        <v>0</v>
      </c>
      <c r="AY303" s="10">
        <v>0</v>
      </c>
      <c r="AZ303" s="10">
        <v>0</v>
      </c>
      <c r="BA303" s="10">
        <v>0</v>
      </c>
      <c r="BB303" s="10">
        <v>0</v>
      </c>
      <c r="BC303" s="10">
        <v>0</v>
      </c>
      <c r="BD303" s="10">
        <v>0</v>
      </c>
      <c r="BE303" s="10">
        <v>0</v>
      </c>
      <c r="BF303" s="10">
        <v>0</v>
      </c>
    </row>
    <row r="304" spans="1:58" s="21" customFormat="1" ht="14.1" customHeight="1">
      <c r="A304" s="412">
        <f t="shared" si="716"/>
        <v>298</v>
      </c>
      <c r="B304" s="22" t="s">
        <v>194</v>
      </c>
      <c r="C304" s="38">
        <f t="shared" si="758"/>
        <v>0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0">
        <v>0</v>
      </c>
      <c r="O304" s="10">
        <v>0</v>
      </c>
      <c r="P304" s="10">
        <v>0</v>
      </c>
      <c r="Q304" s="10">
        <v>0</v>
      </c>
      <c r="R304" s="10">
        <v>0</v>
      </c>
      <c r="S304" s="10">
        <v>0</v>
      </c>
      <c r="T304" s="10">
        <v>0</v>
      </c>
      <c r="U304" s="10">
        <v>0</v>
      </c>
      <c r="V304" s="10">
        <v>0</v>
      </c>
      <c r="W304" s="10">
        <v>0</v>
      </c>
      <c r="X304" s="10">
        <v>0</v>
      </c>
      <c r="Y304" s="10">
        <v>0</v>
      </c>
      <c r="Z304" s="10">
        <v>0</v>
      </c>
      <c r="AA304" s="10">
        <v>0</v>
      </c>
      <c r="AB304" s="10">
        <v>0</v>
      </c>
      <c r="AC304" s="10">
        <v>0</v>
      </c>
      <c r="AD304" s="10">
        <v>0</v>
      </c>
      <c r="AE304" s="10">
        <v>0</v>
      </c>
      <c r="AF304" s="10">
        <v>0</v>
      </c>
      <c r="AG304" s="10">
        <v>0</v>
      </c>
      <c r="AH304" s="10">
        <v>0</v>
      </c>
      <c r="AI304" s="10">
        <v>0</v>
      </c>
      <c r="AJ304" s="10">
        <v>0</v>
      </c>
      <c r="AK304" s="10">
        <v>0</v>
      </c>
      <c r="AL304" s="10">
        <v>0</v>
      </c>
      <c r="AM304" s="10">
        <v>0</v>
      </c>
      <c r="AN304" s="10">
        <v>0</v>
      </c>
      <c r="AO304" s="10">
        <v>0</v>
      </c>
      <c r="AP304" s="10">
        <v>0</v>
      </c>
      <c r="AQ304" s="10">
        <v>0</v>
      </c>
      <c r="AR304" s="10">
        <v>0</v>
      </c>
      <c r="AS304" s="10">
        <v>0</v>
      </c>
      <c r="AT304" s="10">
        <v>0</v>
      </c>
      <c r="AU304" s="10">
        <v>0</v>
      </c>
      <c r="AV304" s="10">
        <v>0</v>
      </c>
      <c r="AW304" s="10">
        <v>0</v>
      </c>
      <c r="AX304" s="10">
        <v>0</v>
      </c>
      <c r="AY304" s="10">
        <v>0</v>
      </c>
      <c r="AZ304" s="10">
        <v>0</v>
      </c>
      <c r="BA304" s="10">
        <v>0</v>
      </c>
      <c r="BB304" s="10">
        <v>0</v>
      </c>
      <c r="BC304" s="10">
        <v>0</v>
      </c>
      <c r="BD304" s="10">
        <v>0</v>
      </c>
      <c r="BE304" s="10">
        <v>0</v>
      </c>
      <c r="BF304" s="10">
        <v>0</v>
      </c>
    </row>
    <row r="305" spans="1:58" ht="14.1" customHeight="1">
      <c r="A305" s="412">
        <f t="shared" si="716"/>
        <v>299</v>
      </c>
      <c r="B305" s="22" t="s">
        <v>889</v>
      </c>
      <c r="C305" s="38">
        <f t="shared" si="758"/>
        <v>-18.559999999999999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0</v>
      </c>
      <c r="T305" s="10">
        <v>0</v>
      </c>
      <c r="U305" s="10">
        <v>0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-18.559999999999999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v>0</v>
      </c>
      <c r="AU305" s="10">
        <v>0</v>
      </c>
      <c r="AV305" s="10">
        <v>0</v>
      </c>
      <c r="AW305" s="10">
        <v>0</v>
      </c>
      <c r="AX305" s="10">
        <v>0</v>
      </c>
      <c r="AY305" s="10">
        <v>0</v>
      </c>
      <c r="AZ305" s="10">
        <v>0</v>
      </c>
      <c r="BA305" s="10">
        <v>0</v>
      </c>
      <c r="BB305" s="10">
        <v>0</v>
      </c>
      <c r="BC305" s="10">
        <v>0</v>
      </c>
      <c r="BD305" s="10">
        <v>0</v>
      </c>
      <c r="BE305" s="10">
        <v>0</v>
      </c>
      <c r="BF305" s="10">
        <v>0</v>
      </c>
    </row>
    <row r="306" spans="1:58" ht="14.1" customHeight="1">
      <c r="A306" s="412">
        <f t="shared" si="716"/>
        <v>300</v>
      </c>
      <c r="B306" s="56" t="s">
        <v>195</v>
      </c>
      <c r="C306" s="38">
        <f t="shared" si="758"/>
        <v>3459.21</v>
      </c>
      <c r="D306" s="10">
        <v>0</v>
      </c>
      <c r="E306" s="10">
        <v>0</v>
      </c>
      <c r="F306" s="10">
        <v>0</v>
      </c>
      <c r="G306" s="10">
        <v>0</v>
      </c>
      <c r="H306" s="10">
        <v>3459.21</v>
      </c>
      <c r="I306" s="10">
        <v>0</v>
      </c>
      <c r="J306" s="10">
        <v>0</v>
      </c>
      <c r="K306" s="10">
        <v>0</v>
      </c>
      <c r="L306" s="10">
        <v>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0</v>
      </c>
      <c r="T306" s="10">
        <v>0</v>
      </c>
      <c r="U306" s="10">
        <v>0</v>
      </c>
      <c r="V306" s="10">
        <v>0</v>
      </c>
      <c r="W306" s="10">
        <v>0</v>
      </c>
      <c r="X306" s="10">
        <v>0</v>
      </c>
      <c r="Y306" s="10">
        <v>0</v>
      </c>
      <c r="Z306" s="10">
        <v>0</v>
      </c>
      <c r="AA306" s="10">
        <v>0</v>
      </c>
      <c r="AB306" s="10">
        <v>0</v>
      </c>
      <c r="AC306" s="10">
        <v>0</v>
      </c>
      <c r="AD306" s="10">
        <v>0</v>
      </c>
      <c r="AE306" s="10">
        <v>0</v>
      </c>
      <c r="AF306" s="10">
        <v>0</v>
      </c>
      <c r="AG306" s="10">
        <v>0</v>
      </c>
      <c r="AH306" s="10">
        <v>0</v>
      </c>
      <c r="AI306" s="10">
        <v>0</v>
      </c>
      <c r="AJ306" s="10">
        <v>0</v>
      </c>
      <c r="AK306" s="10">
        <v>0</v>
      </c>
      <c r="AL306" s="10">
        <v>0</v>
      </c>
      <c r="AM306" s="10">
        <v>0</v>
      </c>
      <c r="AN306" s="10">
        <v>0</v>
      </c>
      <c r="AO306" s="10">
        <v>0</v>
      </c>
      <c r="AP306" s="10">
        <v>0</v>
      </c>
      <c r="AQ306" s="10">
        <v>0</v>
      </c>
      <c r="AR306" s="10">
        <v>0</v>
      </c>
      <c r="AS306" s="10">
        <v>0</v>
      </c>
      <c r="AT306" s="10">
        <v>0</v>
      </c>
      <c r="AU306" s="10">
        <v>0</v>
      </c>
      <c r="AV306" s="10">
        <v>0</v>
      </c>
      <c r="AW306" s="10">
        <v>0</v>
      </c>
      <c r="AX306" s="10">
        <v>0</v>
      </c>
      <c r="AY306" s="10">
        <v>0</v>
      </c>
      <c r="AZ306" s="10">
        <v>0</v>
      </c>
      <c r="BA306" s="10">
        <v>0</v>
      </c>
      <c r="BB306" s="10">
        <v>0</v>
      </c>
      <c r="BC306" s="10">
        <v>0</v>
      </c>
      <c r="BD306" s="10">
        <v>0</v>
      </c>
      <c r="BE306" s="10">
        <v>0</v>
      </c>
      <c r="BF306" s="10">
        <v>0</v>
      </c>
    </row>
    <row r="307" spans="1:58" ht="14.1" customHeight="1">
      <c r="A307" s="412">
        <f t="shared" si="716"/>
        <v>301</v>
      </c>
      <c r="B307" s="20" t="s">
        <v>503</v>
      </c>
      <c r="C307" s="86">
        <f t="shared" ref="C307:H307" si="759">SUM(C294:C306)</f>
        <v>-3769258.57</v>
      </c>
      <c r="D307" s="86">
        <f t="shared" si="759"/>
        <v>0</v>
      </c>
      <c r="E307" s="86">
        <f t="shared" si="759"/>
        <v>-37488</v>
      </c>
      <c r="F307" s="86">
        <f t="shared" ref="F307" si="760">SUM(F294:F306)</f>
        <v>-2612523</v>
      </c>
      <c r="G307" s="86">
        <f t="shared" ref="G307" si="761">SUM(G294:G306)</f>
        <v>0</v>
      </c>
      <c r="H307" s="86">
        <f t="shared" si="759"/>
        <v>-689962.9</v>
      </c>
      <c r="I307" s="86">
        <f>SUM(I294:I306)</f>
        <v>-2613981</v>
      </c>
      <c r="J307" s="86">
        <f>SUM(J294:J306)</f>
        <v>2211941.64</v>
      </c>
      <c r="K307" s="86">
        <f>SUM(K294:K306)</f>
        <v>173874.68</v>
      </c>
      <c r="L307" s="86">
        <f t="shared" ref="L307" si="762">SUM(L294:L306)</f>
        <v>0</v>
      </c>
      <c r="M307" s="86">
        <f t="shared" ref="M307:AB307" si="763">SUM(M294:M306)</f>
        <v>0</v>
      </c>
      <c r="N307" s="86">
        <f t="shared" si="763"/>
        <v>0</v>
      </c>
      <c r="O307" s="86">
        <f t="shared" si="763"/>
        <v>0</v>
      </c>
      <c r="P307" s="86">
        <f t="shared" si="763"/>
        <v>0</v>
      </c>
      <c r="Q307" s="86">
        <f t="shared" si="763"/>
        <v>0</v>
      </c>
      <c r="R307" s="86">
        <f t="shared" si="763"/>
        <v>0</v>
      </c>
      <c r="S307" s="86">
        <f t="shared" si="763"/>
        <v>0</v>
      </c>
      <c r="T307" s="86">
        <f t="shared" si="763"/>
        <v>0</v>
      </c>
      <c r="U307" s="86">
        <f t="shared" si="763"/>
        <v>0</v>
      </c>
      <c r="V307" s="86">
        <f t="shared" si="763"/>
        <v>0</v>
      </c>
      <c r="W307" s="86">
        <f t="shared" si="763"/>
        <v>0</v>
      </c>
      <c r="X307" s="86">
        <f t="shared" si="763"/>
        <v>0</v>
      </c>
      <c r="Y307" s="86">
        <f t="shared" si="763"/>
        <v>10529.570000000002</v>
      </c>
      <c r="Z307" s="86">
        <f t="shared" si="763"/>
        <v>0</v>
      </c>
      <c r="AA307" s="86">
        <f t="shared" si="763"/>
        <v>0</v>
      </c>
      <c r="AB307" s="86">
        <f t="shared" si="763"/>
        <v>0</v>
      </c>
      <c r="AC307" s="86">
        <f t="shared" ref="AC307" si="764">SUM(AC294:AC306)</f>
        <v>0</v>
      </c>
      <c r="AD307" s="86">
        <f>SUM(AD294:AD306)</f>
        <v>0</v>
      </c>
      <c r="AE307" s="86">
        <f>SUM(AE294:AE306)</f>
        <v>0</v>
      </c>
      <c r="AF307" s="86">
        <f t="shared" ref="AF307" si="765">SUM(AF294:AF306)</f>
        <v>0</v>
      </c>
      <c r="AG307" s="86">
        <f t="shared" ref="AG307" si="766">SUM(AG294:AG306)</f>
        <v>0</v>
      </c>
      <c r="AH307" s="86">
        <f>SUM(AH294:AH306)</f>
        <v>-35433</v>
      </c>
      <c r="AI307" s="86">
        <f>SUM(AI294:AI306)</f>
        <v>-176198</v>
      </c>
      <c r="AJ307" s="86">
        <f t="shared" ref="AJ307" si="767">SUM(AJ294:AJ306)</f>
        <v>-18.559999999999999</v>
      </c>
      <c r="AK307" s="86">
        <f t="shared" ref="AK307:AU307" si="768">SUM(AK294:AK306)</f>
        <v>0</v>
      </c>
      <c r="AL307" s="86">
        <f t="shared" si="768"/>
        <v>0</v>
      </c>
      <c r="AM307" s="86">
        <f t="shared" si="768"/>
        <v>0</v>
      </c>
      <c r="AN307" s="86">
        <f t="shared" si="768"/>
        <v>0</v>
      </c>
      <c r="AO307" s="86">
        <f t="shared" si="768"/>
        <v>0</v>
      </c>
      <c r="AP307" s="86">
        <f t="shared" si="768"/>
        <v>0</v>
      </c>
      <c r="AQ307" s="86">
        <f t="shared" si="768"/>
        <v>0</v>
      </c>
      <c r="AR307" s="86">
        <f t="shared" si="768"/>
        <v>0</v>
      </c>
      <c r="AS307" s="86">
        <f t="shared" si="768"/>
        <v>0</v>
      </c>
      <c r="AT307" s="86">
        <f t="shared" si="768"/>
        <v>0</v>
      </c>
      <c r="AU307" s="86">
        <f t="shared" si="768"/>
        <v>0</v>
      </c>
      <c r="AV307" s="86">
        <f>SUM(AV294:AV306)</f>
        <v>0</v>
      </c>
      <c r="AW307" s="86">
        <f>SUM(AW294:AW306)</f>
        <v>0</v>
      </c>
      <c r="AX307" s="86">
        <f t="shared" ref="AX307:BE307" si="769">SUM(AX294:AX306)</f>
        <v>0</v>
      </c>
      <c r="AY307" s="86">
        <f t="shared" si="769"/>
        <v>0</v>
      </c>
      <c r="AZ307" s="86">
        <f t="shared" si="769"/>
        <v>0</v>
      </c>
      <c r="BA307" s="86">
        <f t="shared" si="769"/>
        <v>0</v>
      </c>
      <c r="BB307" s="86">
        <f t="shared" si="769"/>
        <v>0</v>
      </c>
      <c r="BC307" s="86">
        <f t="shared" si="769"/>
        <v>0</v>
      </c>
      <c r="BD307" s="86">
        <f t="shared" si="769"/>
        <v>0</v>
      </c>
      <c r="BE307" s="86">
        <f t="shared" si="769"/>
        <v>0</v>
      </c>
      <c r="BF307" s="86">
        <f>SUM(BF294:BF306)</f>
        <v>0</v>
      </c>
    </row>
    <row r="308" spans="1:58" ht="14.1" customHeight="1">
      <c r="A308" s="412">
        <f t="shared" si="716"/>
        <v>302</v>
      </c>
      <c r="B308" s="23"/>
      <c r="C308" s="23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</row>
    <row r="309" spans="1:58" ht="14.1" customHeight="1">
      <c r="A309" s="412">
        <f t="shared" si="716"/>
        <v>303</v>
      </c>
      <c r="B309" s="22" t="s">
        <v>197</v>
      </c>
      <c r="C309" s="65">
        <f>SUM(D309:BF309)</f>
        <v>-61498.51</v>
      </c>
      <c r="D309" s="43">
        <v>0</v>
      </c>
      <c r="E309" s="43">
        <v>0</v>
      </c>
      <c r="F309" s="43">
        <v>0</v>
      </c>
      <c r="G309" s="43">
        <v>0</v>
      </c>
      <c r="H309" s="43">
        <v>0</v>
      </c>
      <c r="I309" s="43">
        <v>0</v>
      </c>
      <c r="J309" s="43">
        <v>0</v>
      </c>
      <c r="K309" s="43">
        <v>0</v>
      </c>
      <c r="L309" s="43">
        <v>0</v>
      </c>
      <c r="M309" s="43">
        <v>0</v>
      </c>
      <c r="N309" s="43">
        <v>0</v>
      </c>
      <c r="O309" s="43">
        <v>0</v>
      </c>
      <c r="P309" s="43">
        <v>0</v>
      </c>
      <c r="Q309" s="43">
        <v>0</v>
      </c>
      <c r="R309" s="43">
        <v>0</v>
      </c>
      <c r="S309" s="43">
        <v>0</v>
      </c>
      <c r="T309" s="43">
        <v>0</v>
      </c>
      <c r="U309" s="43">
        <v>0</v>
      </c>
      <c r="V309" s="43">
        <v>0</v>
      </c>
      <c r="W309" s="43">
        <v>0</v>
      </c>
      <c r="X309" s="43">
        <v>0</v>
      </c>
      <c r="Y309" s="43">
        <v>124.49</v>
      </c>
      <c r="Z309" s="43">
        <v>0</v>
      </c>
      <c r="AA309" s="43">
        <v>0</v>
      </c>
      <c r="AB309" s="43">
        <v>0</v>
      </c>
      <c r="AC309" s="43">
        <v>0</v>
      </c>
      <c r="AD309" s="43">
        <v>0</v>
      </c>
      <c r="AE309" s="43">
        <v>0</v>
      </c>
      <c r="AF309" s="43">
        <v>0</v>
      </c>
      <c r="AG309" s="43">
        <v>0</v>
      </c>
      <c r="AH309" s="43">
        <v>0</v>
      </c>
      <c r="AI309" s="43">
        <v>-61623</v>
      </c>
      <c r="AJ309" s="43">
        <v>0</v>
      </c>
      <c r="AK309" s="43">
        <v>0</v>
      </c>
      <c r="AL309" s="43">
        <v>0</v>
      </c>
      <c r="AM309" s="43">
        <v>0</v>
      </c>
      <c r="AN309" s="43">
        <v>0</v>
      </c>
      <c r="AO309" s="43">
        <v>0</v>
      </c>
      <c r="AP309" s="43">
        <v>0</v>
      </c>
      <c r="AQ309" s="43">
        <v>0</v>
      </c>
      <c r="AR309" s="43">
        <v>0</v>
      </c>
      <c r="AS309" s="43">
        <v>0</v>
      </c>
      <c r="AT309" s="43">
        <v>0</v>
      </c>
      <c r="AU309" s="43">
        <v>0</v>
      </c>
      <c r="AV309" s="43">
        <v>0</v>
      </c>
      <c r="AW309" s="43">
        <v>0</v>
      </c>
      <c r="AX309" s="43">
        <v>0</v>
      </c>
      <c r="AY309" s="43">
        <v>0</v>
      </c>
      <c r="AZ309" s="43">
        <v>0</v>
      </c>
      <c r="BA309" s="43">
        <v>0</v>
      </c>
      <c r="BB309" s="43">
        <v>0</v>
      </c>
      <c r="BC309" s="43">
        <v>0</v>
      </c>
      <c r="BD309" s="43">
        <v>0</v>
      </c>
      <c r="BE309" s="43">
        <v>0</v>
      </c>
      <c r="BF309" s="43">
        <v>0</v>
      </c>
    </row>
    <row r="310" spans="1:58" ht="14.1" customHeight="1">
      <c r="A310" s="412">
        <f t="shared" si="716"/>
        <v>304</v>
      </c>
      <c r="B310" s="22" t="s">
        <v>198</v>
      </c>
      <c r="C310" s="65">
        <f>SUM(D310:BF310)</f>
        <v>-10011.44</v>
      </c>
      <c r="D310" s="10">
        <v>0</v>
      </c>
      <c r="E310" s="10">
        <v>-4180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0">
        <v>0</v>
      </c>
      <c r="M310" s="10">
        <v>0</v>
      </c>
      <c r="N310" s="10">
        <v>0</v>
      </c>
      <c r="O310" s="10">
        <v>0</v>
      </c>
      <c r="P310" s="10">
        <v>0</v>
      </c>
      <c r="Q310" s="10">
        <v>0</v>
      </c>
      <c r="R310" s="10">
        <v>0</v>
      </c>
      <c r="S310" s="10">
        <v>0</v>
      </c>
      <c r="T310" s="10">
        <v>0</v>
      </c>
      <c r="U310" s="10">
        <v>0</v>
      </c>
      <c r="V310" s="10">
        <v>0</v>
      </c>
      <c r="W310" s="10">
        <v>0</v>
      </c>
      <c r="X310" s="10">
        <v>0</v>
      </c>
      <c r="Y310" s="10">
        <v>1446.56</v>
      </c>
      <c r="Z310" s="10">
        <v>0</v>
      </c>
      <c r="AA310" s="10">
        <v>0</v>
      </c>
      <c r="AB310" s="10">
        <v>0</v>
      </c>
      <c r="AC310" s="10">
        <v>0</v>
      </c>
      <c r="AD310" s="10">
        <v>0</v>
      </c>
      <c r="AE310" s="10">
        <v>0</v>
      </c>
      <c r="AF310" s="10">
        <v>0</v>
      </c>
      <c r="AG310" s="10">
        <v>0</v>
      </c>
      <c r="AH310" s="10">
        <v>0</v>
      </c>
      <c r="AI310" s="43">
        <v>-7278</v>
      </c>
      <c r="AJ310" s="10">
        <v>0</v>
      </c>
      <c r="AK310" s="10">
        <v>0</v>
      </c>
      <c r="AL310" s="10">
        <v>0</v>
      </c>
      <c r="AM310" s="10">
        <v>0</v>
      </c>
      <c r="AN310" s="10">
        <v>0</v>
      </c>
      <c r="AO310" s="10">
        <v>0</v>
      </c>
      <c r="AP310" s="10">
        <v>0</v>
      </c>
      <c r="AQ310" s="10">
        <v>0</v>
      </c>
      <c r="AR310" s="10">
        <v>0</v>
      </c>
      <c r="AS310" s="10">
        <v>0</v>
      </c>
      <c r="AT310" s="10">
        <v>0</v>
      </c>
      <c r="AU310" s="10">
        <v>0</v>
      </c>
      <c r="AV310" s="10">
        <v>0</v>
      </c>
      <c r="AW310" s="10">
        <v>0</v>
      </c>
      <c r="AX310" s="10">
        <v>0</v>
      </c>
      <c r="AY310" s="10">
        <v>0</v>
      </c>
      <c r="AZ310" s="10">
        <v>0</v>
      </c>
      <c r="BA310" s="10">
        <v>0</v>
      </c>
      <c r="BB310" s="10">
        <v>0</v>
      </c>
      <c r="BC310" s="10">
        <v>0</v>
      </c>
      <c r="BD310" s="10">
        <v>0</v>
      </c>
      <c r="BE310" s="10">
        <v>0</v>
      </c>
      <c r="BF310" s="10">
        <v>0</v>
      </c>
    </row>
    <row r="311" spans="1:58" ht="13.5" customHeight="1">
      <c r="A311" s="412">
        <f t="shared" si="716"/>
        <v>305</v>
      </c>
      <c r="B311" s="22" t="s">
        <v>199</v>
      </c>
      <c r="C311" s="65">
        <f>SUM(D311:BF311)</f>
        <v>-1430180.66</v>
      </c>
      <c r="D311" s="10">
        <v>0</v>
      </c>
      <c r="E311" s="10">
        <f>-36037+86100</f>
        <v>50063</v>
      </c>
      <c r="F311" s="10">
        <v>-1315193</v>
      </c>
      <c r="G311" s="10">
        <v>0</v>
      </c>
      <c r="H311" s="10">
        <v>0</v>
      </c>
      <c r="I311" s="10">
        <v>-25332</v>
      </c>
      <c r="J311" s="10">
        <v>0</v>
      </c>
      <c r="K311" s="10">
        <v>0</v>
      </c>
      <c r="L311" s="10">
        <v>0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0</v>
      </c>
      <c r="T311" s="10">
        <v>0</v>
      </c>
      <c r="U311" s="10">
        <v>0</v>
      </c>
      <c r="V311" s="10">
        <v>0</v>
      </c>
      <c r="W311" s="10">
        <v>0</v>
      </c>
      <c r="X311" s="10">
        <v>0</v>
      </c>
      <c r="Y311" s="10">
        <v>-804.66</v>
      </c>
      <c r="Z311" s="10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43">
        <v>-138914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v>0</v>
      </c>
      <c r="AU311" s="10">
        <v>0</v>
      </c>
      <c r="AV311" s="10">
        <v>0</v>
      </c>
      <c r="AW311" s="10">
        <v>0</v>
      </c>
      <c r="AX311" s="10">
        <v>0</v>
      </c>
      <c r="AY311" s="10">
        <v>0</v>
      </c>
      <c r="AZ311" s="10">
        <v>0</v>
      </c>
      <c r="BA311" s="10">
        <v>0</v>
      </c>
      <c r="BB311" s="10">
        <v>0</v>
      </c>
      <c r="BC311" s="10">
        <v>0</v>
      </c>
      <c r="BD311" s="10">
        <v>0</v>
      </c>
      <c r="BE311" s="10">
        <v>0</v>
      </c>
      <c r="BF311" s="10">
        <v>0</v>
      </c>
    </row>
    <row r="312" spans="1:58" ht="14.1" customHeight="1">
      <c r="A312" s="412">
        <f t="shared" si="716"/>
        <v>306</v>
      </c>
      <c r="B312" s="22" t="s">
        <v>200</v>
      </c>
      <c r="C312" s="65">
        <f>SUM(D312:BF312)</f>
        <v>-43360.54</v>
      </c>
      <c r="D312" s="10">
        <v>0</v>
      </c>
      <c r="E312" s="10">
        <v>-5272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0</v>
      </c>
      <c r="L312" s="10">
        <v>0</v>
      </c>
      <c r="M312" s="10">
        <v>0</v>
      </c>
      <c r="N312" s="10">
        <v>0</v>
      </c>
      <c r="O312" s="10">
        <v>0</v>
      </c>
      <c r="P312" s="10">
        <v>0</v>
      </c>
      <c r="Q312" s="10">
        <v>0</v>
      </c>
      <c r="R312" s="10">
        <v>0</v>
      </c>
      <c r="S312" s="10">
        <v>0</v>
      </c>
      <c r="T312" s="10">
        <v>0</v>
      </c>
      <c r="U312" s="10">
        <v>0</v>
      </c>
      <c r="V312" s="10">
        <v>0</v>
      </c>
      <c r="W312" s="10">
        <v>0</v>
      </c>
      <c r="X312" s="10">
        <v>0</v>
      </c>
      <c r="Y312" s="10">
        <v>-195.54</v>
      </c>
      <c r="Z312" s="10">
        <v>0</v>
      </c>
      <c r="AA312" s="10">
        <v>0</v>
      </c>
      <c r="AB312" s="10"/>
      <c r="AC312" s="10">
        <v>0</v>
      </c>
      <c r="AD312" s="10">
        <v>0</v>
      </c>
      <c r="AE312" s="10">
        <v>0</v>
      </c>
      <c r="AF312" s="10">
        <v>0</v>
      </c>
      <c r="AG312" s="10">
        <v>0</v>
      </c>
      <c r="AH312" s="10">
        <v>0</v>
      </c>
      <c r="AI312" s="43">
        <v>-37893</v>
      </c>
      <c r="AJ312" s="10">
        <v>0</v>
      </c>
      <c r="AK312" s="10">
        <v>0</v>
      </c>
      <c r="AL312" s="10">
        <v>0</v>
      </c>
      <c r="AM312" s="10">
        <v>0</v>
      </c>
      <c r="AN312" s="10">
        <v>0</v>
      </c>
      <c r="AO312" s="10">
        <v>0</v>
      </c>
      <c r="AP312" s="10">
        <v>0</v>
      </c>
      <c r="AQ312" s="10">
        <v>0</v>
      </c>
      <c r="AR312" s="10">
        <v>0</v>
      </c>
      <c r="AS312" s="10">
        <v>0</v>
      </c>
      <c r="AT312" s="10">
        <v>0</v>
      </c>
      <c r="AU312" s="10">
        <v>0</v>
      </c>
      <c r="AV312" s="10">
        <v>0</v>
      </c>
      <c r="AW312" s="10">
        <v>0</v>
      </c>
      <c r="AX312" s="10">
        <v>0</v>
      </c>
      <c r="AY312" s="10">
        <v>0</v>
      </c>
      <c r="AZ312" s="10">
        <v>0</v>
      </c>
      <c r="BA312" s="10">
        <v>0</v>
      </c>
      <c r="BB312" s="10">
        <v>0</v>
      </c>
      <c r="BC312" s="10">
        <v>0</v>
      </c>
      <c r="BD312" s="10">
        <v>0</v>
      </c>
      <c r="BE312" s="10">
        <v>0</v>
      </c>
      <c r="BF312" s="10">
        <v>0</v>
      </c>
    </row>
    <row r="313" spans="1:58" ht="14.1" customHeight="1">
      <c r="A313" s="412">
        <f t="shared" si="716"/>
        <v>307</v>
      </c>
      <c r="B313" s="56" t="s">
        <v>201</v>
      </c>
      <c r="C313" s="65">
        <f>SUM(D313:BF313)</f>
        <v>-297914.2</v>
      </c>
      <c r="D313" s="10">
        <v>0</v>
      </c>
      <c r="E313" s="10">
        <v>-3070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0</v>
      </c>
      <c r="L313" s="10">
        <v>0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0</v>
      </c>
      <c r="T313" s="10">
        <v>0</v>
      </c>
      <c r="U313" s="10">
        <v>0</v>
      </c>
      <c r="V313" s="10">
        <v>0</v>
      </c>
      <c r="W313" s="10">
        <v>0</v>
      </c>
      <c r="X313" s="10">
        <v>0</v>
      </c>
      <c r="Y313" s="10">
        <v>-222.2</v>
      </c>
      <c r="Z313" s="10">
        <v>0</v>
      </c>
      <c r="AA313" s="10">
        <v>0</v>
      </c>
      <c r="AB313" s="10"/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43">
        <v>-20288</v>
      </c>
      <c r="AJ313" s="10">
        <v>0</v>
      </c>
      <c r="AK313" s="10">
        <v>-274334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0</v>
      </c>
      <c r="AT313" s="10">
        <v>0</v>
      </c>
      <c r="AU313" s="10">
        <v>0</v>
      </c>
      <c r="AV313" s="10">
        <v>0</v>
      </c>
      <c r="AW313" s="10">
        <v>0</v>
      </c>
      <c r="AX313" s="10">
        <v>0</v>
      </c>
      <c r="AY313" s="10">
        <v>0</v>
      </c>
      <c r="AZ313" s="10">
        <v>0</v>
      </c>
      <c r="BA313" s="10">
        <v>0</v>
      </c>
      <c r="BB313" s="10">
        <v>0</v>
      </c>
      <c r="BC313" s="10">
        <v>0</v>
      </c>
      <c r="BD313" s="10">
        <v>0</v>
      </c>
      <c r="BE313" s="10">
        <v>0</v>
      </c>
      <c r="BF313" s="10">
        <v>0</v>
      </c>
    </row>
    <row r="314" spans="1:58" ht="14.1" customHeight="1">
      <c r="A314" s="412">
        <f t="shared" si="716"/>
        <v>308</v>
      </c>
      <c r="B314" s="20" t="s">
        <v>504</v>
      </c>
      <c r="C314" s="86">
        <f>SUM(C309:C313)</f>
        <v>-1842965.3499999999</v>
      </c>
      <c r="D314" s="86">
        <f>SUM(D309:D313)</f>
        <v>0</v>
      </c>
      <c r="E314" s="86">
        <f>SUM(E309:E313)</f>
        <v>37541</v>
      </c>
      <c r="F314" s="86">
        <f t="shared" ref="F314" si="770">SUM(F309:F313)</f>
        <v>-1315193</v>
      </c>
      <c r="G314" s="86">
        <f t="shared" ref="G314" si="771">SUM(G309:G313)</f>
        <v>0</v>
      </c>
      <c r="H314" s="86">
        <f t="shared" ref="H314:BE314" si="772">SUM(H309:H313)</f>
        <v>0</v>
      </c>
      <c r="I314" s="86">
        <f>SUM(I309:I313)</f>
        <v>-25332</v>
      </c>
      <c r="J314" s="86">
        <f>SUM(J309:J313)</f>
        <v>0</v>
      </c>
      <c r="K314" s="86">
        <f>SUM(K309:K313)</f>
        <v>0</v>
      </c>
      <c r="L314" s="86">
        <f t="shared" ref="L314" si="773">SUM(L309:L313)</f>
        <v>0</v>
      </c>
      <c r="M314" s="86">
        <f t="shared" ref="M314:AB314" si="774">SUM(M309:M313)</f>
        <v>0</v>
      </c>
      <c r="N314" s="86">
        <f t="shared" si="774"/>
        <v>0</v>
      </c>
      <c r="O314" s="86">
        <f t="shared" si="774"/>
        <v>0</v>
      </c>
      <c r="P314" s="86">
        <f t="shared" si="774"/>
        <v>0</v>
      </c>
      <c r="Q314" s="86">
        <f t="shared" si="774"/>
        <v>0</v>
      </c>
      <c r="R314" s="86">
        <f t="shared" si="774"/>
        <v>0</v>
      </c>
      <c r="S314" s="86">
        <f t="shared" si="774"/>
        <v>0</v>
      </c>
      <c r="T314" s="86">
        <f t="shared" si="774"/>
        <v>0</v>
      </c>
      <c r="U314" s="86">
        <f t="shared" si="774"/>
        <v>0</v>
      </c>
      <c r="V314" s="86">
        <f t="shared" si="774"/>
        <v>0</v>
      </c>
      <c r="W314" s="86">
        <f t="shared" si="774"/>
        <v>0</v>
      </c>
      <c r="X314" s="86">
        <f t="shared" si="774"/>
        <v>0</v>
      </c>
      <c r="Y314" s="86">
        <f t="shared" si="774"/>
        <v>348.65000000000003</v>
      </c>
      <c r="Z314" s="86">
        <f t="shared" si="774"/>
        <v>0</v>
      </c>
      <c r="AA314" s="86">
        <f t="shared" si="774"/>
        <v>0</v>
      </c>
      <c r="AB314" s="86">
        <f t="shared" si="774"/>
        <v>0</v>
      </c>
      <c r="AC314" s="86">
        <f t="shared" ref="AC314" si="775">SUM(AC309:AC313)</f>
        <v>0</v>
      </c>
      <c r="AD314" s="86">
        <f>SUM(AD309:AD313)</f>
        <v>0</v>
      </c>
      <c r="AE314" s="86">
        <f>SUM(AE309:AE313)</f>
        <v>0</v>
      </c>
      <c r="AF314" s="86">
        <f t="shared" ref="AF314" si="776">SUM(AF309:AF313)</f>
        <v>0</v>
      </c>
      <c r="AG314" s="86">
        <f t="shared" ref="AG314" si="777">SUM(AG309:AG313)</f>
        <v>0</v>
      </c>
      <c r="AH314" s="86">
        <f>SUM(AH309:AH313)</f>
        <v>0</v>
      </c>
      <c r="AI314" s="86">
        <f>SUM(AI309:AI313)</f>
        <v>-265996</v>
      </c>
      <c r="AJ314" s="86">
        <f t="shared" ref="AJ314" si="778">SUM(AJ309:AJ313)</f>
        <v>0</v>
      </c>
      <c r="AK314" s="86">
        <f t="shared" ref="AK314:AU314" si="779">SUM(AK309:AK313)</f>
        <v>-274334</v>
      </c>
      <c r="AL314" s="86">
        <f t="shared" si="779"/>
        <v>0</v>
      </c>
      <c r="AM314" s="86">
        <f t="shared" si="779"/>
        <v>0</v>
      </c>
      <c r="AN314" s="86">
        <f t="shared" si="779"/>
        <v>0</v>
      </c>
      <c r="AO314" s="86">
        <f t="shared" si="779"/>
        <v>0</v>
      </c>
      <c r="AP314" s="86">
        <f t="shared" si="779"/>
        <v>0</v>
      </c>
      <c r="AQ314" s="86">
        <f t="shared" si="779"/>
        <v>0</v>
      </c>
      <c r="AR314" s="86">
        <f t="shared" si="779"/>
        <v>0</v>
      </c>
      <c r="AS314" s="86">
        <f t="shared" si="779"/>
        <v>0</v>
      </c>
      <c r="AT314" s="86">
        <f t="shared" si="779"/>
        <v>0</v>
      </c>
      <c r="AU314" s="86">
        <f t="shared" si="779"/>
        <v>0</v>
      </c>
      <c r="AV314" s="86">
        <f>SUM(AV309:AV313)</f>
        <v>0</v>
      </c>
      <c r="AW314" s="86">
        <f>SUM(AW309:AW313)</f>
        <v>0</v>
      </c>
      <c r="AX314" s="86">
        <f t="shared" si="772"/>
        <v>0</v>
      </c>
      <c r="AY314" s="86">
        <f t="shared" si="772"/>
        <v>0</v>
      </c>
      <c r="AZ314" s="86">
        <f t="shared" si="772"/>
        <v>0</v>
      </c>
      <c r="BA314" s="86">
        <f t="shared" si="772"/>
        <v>0</v>
      </c>
      <c r="BB314" s="86">
        <f t="shared" si="772"/>
        <v>0</v>
      </c>
      <c r="BC314" s="86">
        <f t="shared" si="772"/>
        <v>0</v>
      </c>
      <c r="BD314" s="86">
        <f t="shared" si="772"/>
        <v>0</v>
      </c>
      <c r="BE314" s="86">
        <f t="shared" si="772"/>
        <v>0</v>
      </c>
      <c r="BF314" s="86">
        <f>SUM(BF309:BF313)</f>
        <v>0</v>
      </c>
    </row>
    <row r="315" spans="1:58" ht="14.1" customHeight="1">
      <c r="A315" s="412">
        <f t="shared" si="716"/>
        <v>309</v>
      </c>
      <c r="B315" s="57"/>
      <c r="C315" s="156"/>
      <c r="D315" s="156"/>
      <c r="E315" s="156"/>
      <c r="F315" s="156"/>
      <c r="G315" s="156"/>
      <c r="H315" s="156"/>
      <c r="I315" s="156"/>
      <c r="J315" s="156"/>
      <c r="K315" s="156"/>
      <c r="L315" s="156"/>
      <c r="M315" s="156"/>
      <c r="N315" s="156"/>
      <c r="O315" s="156"/>
      <c r="P315" s="156"/>
      <c r="Q315" s="156"/>
      <c r="R315" s="156"/>
      <c r="S315" s="156"/>
      <c r="T315" s="156"/>
      <c r="U315" s="156"/>
      <c r="V315" s="156"/>
      <c r="W315" s="156"/>
      <c r="X315" s="156"/>
      <c r="Y315" s="156"/>
      <c r="Z315" s="156"/>
      <c r="AA315" s="156"/>
      <c r="AB315" s="156"/>
      <c r="AC315" s="156"/>
      <c r="AD315" s="156"/>
      <c r="AE315" s="156"/>
      <c r="AF315" s="156"/>
      <c r="AG315" s="156"/>
      <c r="AH315" s="156"/>
      <c r="AI315" s="156"/>
      <c r="AJ315" s="156"/>
      <c r="AK315" s="156"/>
      <c r="AL315" s="156"/>
      <c r="AM315" s="156"/>
      <c r="AN315" s="156"/>
      <c r="AO315" s="156"/>
      <c r="AP315" s="156"/>
      <c r="AQ315" s="156"/>
      <c r="AR315" s="156"/>
      <c r="AS315" s="156"/>
      <c r="AT315" s="156"/>
      <c r="AU315" s="156"/>
      <c r="AV315" s="156"/>
      <c r="AW315" s="156"/>
      <c r="AX315" s="156"/>
      <c r="AY315" s="156"/>
      <c r="AZ315" s="156"/>
      <c r="BA315" s="156"/>
      <c r="BB315" s="156"/>
      <c r="BC315" s="156"/>
      <c r="BD315" s="156"/>
      <c r="BE315" s="156"/>
      <c r="BF315" s="156"/>
    </row>
    <row r="316" spans="1:58" ht="14.1" customHeight="1">
      <c r="A316" s="412">
        <f t="shared" si="716"/>
        <v>310</v>
      </c>
      <c r="B316" s="20" t="s">
        <v>202</v>
      </c>
      <c r="C316" s="16">
        <f>+C314+C307</f>
        <v>-5612223.9199999999</v>
      </c>
      <c r="D316" s="16">
        <f>+D314+D307</f>
        <v>0</v>
      </c>
      <c r="E316" s="16">
        <f>+E314+E307</f>
        <v>53</v>
      </c>
      <c r="F316" s="16">
        <f t="shared" ref="F316" si="780">+F314+F307</f>
        <v>-3927716</v>
      </c>
      <c r="G316" s="16">
        <f t="shared" ref="G316" si="781">+G314+G307</f>
        <v>0</v>
      </c>
      <c r="H316" s="16">
        <f t="shared" ref="H316:BE316" si="782">+H314+H307</f>
        <v>-689962.9</v>
      </c>
      <c r="I316" s="16">
        <f>+I314+I307</f>
        <v>-2639313</v>
      </c>
      <c r="J316" s="16">
        <f>+J314+J307</f>
        <v>2211941.64</v>
      </c>
      <c r="K316" s="16">
        <f>+K314+K307</f>
        <v>173874.68</v>
      </c>
      <c r="L316" s="16">
        <f t="shared" ref="L316" si="783">+L314+L307</f>
        <v>0</v>
      </c>
      <c r="M316" s="16">
        <f t="shared" ref="M316:AB316" si="784">+M314+M307</f>
        <v>0</v>
      </c>
      <c r="N316" s="16">
        <f t="shared" si="784"/>
        <v>0</v>
      </c>
      <c r="O316" s="16">
        <f t="shared" si="784"/>
        <v>0</v>
      </c>
      <c r="P316" s="16">
        <f t="shared" si="784"/>
        <v>0</v>
      </c>
      <c r="Q316" s="16">
        <f t="shared" si="784"/>
        <v>0</v>
      </c>
      <c r="R316" s="16">
        <f t="shared" si="784"/>
        <v>0</v>
      </c>
      <c r="S316" s="16">
        <f t="shared" si="784"/>
        <v>0</v>
      </c>
      <c r="T316" s="16">
        <f t="shared" si="784"/>
        <v>0</v>
      </c>
      <c r="U316" s="16">
        <f t="shared" si="784"/>
        <v>0</v>
      </c>
      <c r="V316" s="16">
        <f t="shared" si="784"/>
        <v>0</v>
      </c>
      <c r="W316" s="16">
        <f t="shared" si="784"/>
        <v>0</v>
      </c>
      <c r="X316" s="16">
        <f t="shared" si="784"/>
        <v>0</v>
      </c>
      <c r="Y316" s="16">
        <f t="shared" si="784"/>
        <v>10878.220000000001</v>
      </c>
      <c r="Z316" s="16">
        <f t="shared" si="784"/>
        <v>0</v>
      </c>
      <c r="AA316" s="16">
        <f t="shared" si="784"/>
        <v>0</v>
      </c>
      <c r="AB316" s="16">
        <f t="shared" si="784"/>
        <v>0</v>
      </c>
      <c r="AC316" s="16">
        <f t="shared" ref="AC316" si="785">+AC314+AC307</f>
        <v>0</v>
      </c>
      <c r="AD316" s="16">
        <f>+AD314+AD307</f>
        <v>0</v>
      </c>
      <c r="AE316" s="16">
        <f>+AE314+AE307</f>
        <v>0</v>
      </c>
      <c r="AF316" s="16">
        <f t="shared" ref="AF316" si="786">+AF314+AF307</f>
        <v>0</v>
      </c>
      <c r="AG316" s="16">
        <f t="shared" ref="AG316" si="787">+AG314+AG307</f>
        <v>0</v>
      </c>
      <c r="AH316" s="16">
        <f>+AH314+AH307</f>
        <v>-35433</v>
      </c>
      <c r="AI316" s="16">
        <f>+AI314+AI307</f>
        <v>-442194</v>
      </c>
      <c r="AJ316" s="16">
        <f t="shared" ref="AJ316" si="788">+AJ314+AJ307</f>
        <v>-18.559999999999999</v>
      </c>
      <c r="AK316" s="16">
        <f t="shared" ref="AK316:AU316" si="789">+AK314+AK307</f>
        <v>-274334</v>
      </c>
      <c r="AL316" s="16">
        <f t="shared" si="789"/>
        <v>0</v>
      </c>
      <c r="AM316" s="16">
        <f t="shared" si="789"/>
        <v>0</v>
      </c>
      <c r="AN316" s="16">
        <f t="shared" si="789"/>
        <v>0</v>
      </c>
      <c r="AO316" s="16">
        <f t="shared" si="789"/>
        <v>0</v>
      </c>
      <c r="AP316" s="16">
        <f t="shared" si="789"/>
        <v>0</v>
      </c>
      <c r="AQ316" s="16">
        <f t="shared" si="789"/>
        <v>0</v>
      </c>
      <c r="AR316" s="16">
        <f t="shared" si="789"/>
        <v>0</v>
      </c>
      <c r="AS316" s="16">
        <f t="shared" si="789"/>
        <v>0</v>
      </c>
      <c r="AT316" s="16">
        <f t="shared" si="789"/>
        <v>0</v>
      </c>
      <c r="AU316" s="16">
        <f t="shared" si="789"/>
        <v>0</v>
      </c>
      <c r="AV316" s="16">
        <f>+AV314+AV307</f>
        <v>0</v>
      </c>
      <c r="AW316" s="16">
        <f>+AW314+AW307</f>
        <v>0</v>
      </c>
      <c r="AX316" s="16">
        <f t="shared" si="782"/>
        <v>0</v>
      </c>
      <c r="AY316" s="16">
        <f t="shared" si="782"/>
        <v>0</v>
      </c>
      <c r="AZ316" s="16">
        <f t="shared" si="782"/>
        <v>0</v>
      </c>
      <c r="BA316" s="16">
        <f t="shared" si="782"/>
        <v>0</v>
      </c>
      <c r="BB316" s="16">
        <f t="shared" si="782"/>
        <v>0</v>
      </c>
      <c r="BC316" s="16">
        <f t="shared" si="782"/>
        <v>0</v>
      </c>
      <c r="BD316" s="16">
        <f t="shared" si="782"/>
        <v>0</v>
      </c>
      <c r="BE316" s="16">
        <f t="shared" si="782"/>
        <v>0</v>
      </c>
      <c r="BF316" s="16">
        <f>+BF314+BF307</f>
        <v>0</v>
      </c>
    </row>
    <row r="317" spans="1:58" ht="14.1" customHeight="1">
      <c r="A317" s="412">
        <f t="shared" si="716"/>
        <v>311</v>
      </c>
      <c r="B317" s="134"/>
      <c r="C317" s="134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</row>
    <row r="318" spans="1:58" ht="14.1" customHeight="1">
      <c r="A318" s="412">
        <f t="shared" si="716"/>
        <v>312</v>
      </c>
      <c r="B318" s="13" t="s">
        <v>203</v>
      </c>
      <c r="C318" s="13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</row>
    <row r="319" spans="1:58" ht="14.1" customHeight="1">
      <c r="A319" s="412">
        <f t="shared" si="716"/>
        <v>313</v>
      </c>
      <c r="B319" s="22" t="s">
        <v>204</v>
      </c>
      <c r="C319" s="38">
        <f>SUM(D319:BF319)</f>
        <v>-15000000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0</v>
      </c>
      <c r="T319" s="10">
        <v>0</v>
      </c>
      <c r="U319" s="10">
        <v>0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0</v>
      </c>
      <c r="AB319" s="10">
        <v>0</v>
      </c>
      <c r="AC319" s="436">
        <v>-15000000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v>0</v>
      </c>
      <c r="AU319" s="10">
        <v>0</v>
      </c>
      <c r="AV319" s="10">
        <v>0</v>
      </c>
      <c r="AW319" s="10">
        <v>0</v>
      </c>
      <c r="AX319" s="10">
        <v>0</v>
      </c>
      <c r="AY319" s="10">
        <v>0</v>
      </c>
      <c r="AZ319" s="10">
        <v>0</v>
      </c>
      <c r="BA319" s="10">
        <v>0</v>
      </c>
      <c r="BB319" s="10">
        <v>0</v>
      </c>
      <c r="BC319" s="10">
        <v>0</v>
      </c>
      <c r="BD319" s="10">
        <v>0</v>
      </c>
      <c r="BE319" s="10">
        <v>0</v>
      </c>
      <c r="BF319" s="10">
        <v>0</v>
      </c>
    </row>
    <row r="320" spans="1:58" ht="14.1" customHeight="1">
      <c r="A320" s="412">
        <f t="shared" si="716"/>
        <v>314</v>
      </c>
      <c r="B320" s="437" t="s">
        <v>205</v>
      </c>
      <c r="C320" s="38">
        <f>SUM(D320:BF320)</f>
        <v>5483146.9199999999</v>
      </c>
      <c r="D320" s="10">
        <v>0</v>
      </c>
      <c r="E320" s="10">
        <v>0</v>
      </c>
      <c r="F320" s="10">
        <v>0</v>
      </c>
      <c r="G320" s="10">
        <v>0</v>
      </c>
      <c r="H320" s="10">
        <v>22559.919999999998</v>
      </c>
      <c r="I320" s="10">
        <v>-2383768</v>
      </c>
      <c r="J320" s="10">
        <v>0</v>
      </c>
      <c r="K320" s="10">
        <v>0</v>
      </c>
      <c r="L320" s="10">
        <v>372542</v>
      </c>
      <c r="M320" s="10">
        <v>0</v>
      </c>
      <c r="N320" s="10">
        <v>0</v>
      </c>
      <c r="O320" s="10">
        <v>0</v>
      </c>
      <c r="P320" s="10">
        <v>0</v>
      </c>
      <c r="Q320" s="10">
        <v>-1931642</v>
      </c>
      <c r="R320" s="10">
        <f>5871000</f>
        <v>5871000</v>
      </c>
      <c r="S320" s="10">
        <v>0</v>
      </c>
      <c r="T320" s="10">
        <v>0</v>
      </c>
      <c r="U320" s="10">
        <v>0</v>
      </c>
      <c r="V320" s="10">
        <v>0</v>
      </c>
      <c r="W320" s="10">
        <v>0</v>
      </c>
      <c r="X320" s="10">
        <v>0</v>
      </c>
      <c r="Y320" s="10">
        <v>0</v>
      </c>
      <c r="Z320" s="10">
        <v>0</v>
      </c>
      <c r="AA320" s="10">
        <v>0</v>
      </c>
      <c r="AB320" s="10">
        <v>-848165</v>
      </c>
      <c r="AC320" s="438">
        <f>3150582+349732-1898</f>
        <v>3498416</v>
      </c>
      <c r="AD320" s="10">
        <v>882204</v>
      </c>
      <c r="AE320" s="10">
        <v>0</v>
      </c>
      <c r="AF320" s="10">
        <v>0</v>
      </c>
      <c r="AG320" s="10">
        <v>0</v>
      </c>
      <c r="AH320" s="10">
        <v>0</v>
      </c>
      <c r="AI320" s="10">
        <v>0</v>
      </c>
      <c r="AJ320" s="10">
        <v>0</v>
      </c>
      <c r="AK320" s="10">
        <v>0</v>
      </c>
      <c r="AL320" s="10">
        <v>0</v>
      </c>
      <c r="AM320" s="10">
        <v>0</v>
      </c>
      <c r="AN320" s="10">
        <v>0</v>
      </c>
      <c r="AO320" s="10">
        <v>0</v>
      </c>
      <c r="AP320" s="10">
        <v>0</v>
      </c>
      <c r="AQ320" s="10">
        <v>0</v>
      </c>
      <c r="AR320" s="10">
        <v>0</v>
      </c>
      <c r="AS320" s="10">
        <v>0</v>
      </c>
      <c r="AT320" s="10">
        <v>0</v>
      </c>
      <c r="AU320" s="10">
        <v>0</v>
      </c>
      <c r="AV320" s="10">
        <v>0</v>
      </c>
      <c r="AW320" s="10">
        <v>0</v>
      </c>
      <c r="AX320" s="10">
        <v>0</v>
      </c>
      <c r="AY320" s="10">
        <v>0</v>
      </c>
      <c r="AZ320" s="10">
        <v>0</v>
      </c>
      <c r="BA320" s="10">
        <v>0</v>
      </c>
      <c r="BB320" s="10">
        <v>0</v>
      </c>
      <c r="BC320" s="10">
        <v>0</v>
      </c>
      <c r="BD320" s="10">
        <v>0</v>
      </c>
      <c r="BE320" s="10">
        <v>0</v>
      </c>
      <c r="BF320" s="10">
        <v>0</v>
      </c>
    </row>
    <row r="321" spans="1:58" ht="14.1" customHeight="1">
      <c r="A321" s="412">
        <f t="shared" si="716"/>
        <v>315</v>
      </c>
      <c r="B321" s="22" t="s">
        <v>206</v>
      </c>
      <c r="C321" s="38">
        <f>SUM(D321:BF321)</f>
        <v>0</v>
      </c>
      <c r="D321" s="10">
        <v>0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0</v>
      </c>
      <c r="T321" s="10">
        <v>0</v>
      </c>
      <c r="U321" s="10">
        <v>0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v>0</v>
      </c>
      <c r="AU321" s="10">
        <v>0</v>
      </c>
      <c r="AV321" s="10">
        <v>0</v>
      </c>
      <c r="AW321" s="10">
        <v>0</v>
      </c>
      <c r="AX321" s="10">
        <v>0</v>
      </c>
      <c r="AY321" s="10">
        <v>0</v>
      </c>
      <c r="AZ321" s="10">
        <v>0</v>
      </c>
      <c r="BA321" s="10">
        <v>0</v>
      </c>
      <c r="BB321" s="10">
        <v>0</v>
      </c>
      <c r="BC321" s="10">
        <v>0</v>
      </c>
      <c r="BD321" s="10">
        <v>0</v>
      </c>
      <c r="BE321" s="10">
        <v>0</v>
      </c>
      <c r="BF321" s="10">
        <v>0</v>
      </c>
    </row>
    <row r="322" spans="1:58" ht="14.1" customHeight="1">
      <c r="A322" s="412">
        <f t="shared" si="716"/>
        <v>316</v>
      </c>
      <c r="B322" s="56" t="s">
        <v>207</v>
      </c>
      <c r="C322" s="38">
        <f>SUM(D322:BF322)</f>
        <v>0</v>
      </c>
      <c r="D322" s="43">
        <v>0</v>
      </c>
      <c r="E322" s="43">
        <v>0</v>
      </c>
      <c r="F322" s="43">
        <v>0</v>
      </c>
      <c r="G322" s="43">
        <v>0</v>
      </c>
      <c r="H322" s="43">
        <v>0</v>
      </c>
      <c r="I322" s="43">
        <v>0</v>
      </c>
      <c r="J322" s="43">
        <v>0</v>
      </c>
      <c r="K322" s="43">
        <v>0</v>
      </c>
      <c r="L322" s="43">
        <v>0</v>
      </c>
      <c r="M322" s="43">
        <v>0</v>
      </c>
      <c r="N322" s="43">
        <v>0</v>
      </c>
      <c r="O322" s="43">
        <v>0</v>
      </c>
      <c r="P322" s="43">
        <v>0</v>
      </c>
      <c r="Q322" s="43">
        <v>0</v>
      </c>
      <c r="R322" s="43">
        <v>0</v>
      </c>
      <c r="S322" s="43">
        <v>0</v>
      </c>
      <c r="T322" s="43">
        <v>0</v>
      </c>
      <c r="U322" s="43">
        <v>0</v>
      </c>
      <c r="V322" s="43">
        <v>0</v>
      </c>
      <c r="W322" s="43">
        <v>0</v>
      </c>
      <c r="X322" s="43">
        <v>0</v>
      </c>
      <c r="Y322" s="43">
        <v>0</v>
      </c>
      <c r="Z322" s="43">
        <v>0</v>
      </c>
      <c r="AA322" s="43">
        <v>0</v>
      </c>
      <c r="AB322" s="43">
        <v>0</v>
      </c>
      <c r="AC322" s="43">
        <v>0</v>
      </c>
      <c r="AD322" s="43">
        <v>0</v>
      </c>
      <c r="AE322" s="43">
        <v>0</v>
      </c>
      <c r="AF322" s="43">
        <v>0</v>
      </c>
      <c r="AG322" s="43">
        <v>0</v>
      </c>
      <c r="AH322" s="43">
        <v>0</v>
      </c>
      <c r="AI322" s="43">
        <v>0</v>
      </c>
      <c r="AJ322" s="43">
        <v>0</v>
      </c>
      <c r="AK322" s="43">
        <v>0</v>
      </c>
      <c r="AL322" s="43">
        <v>0</v>
      </c>
      <c r="AM322" s="43">
        <v>0</v>
      </c>
      <c r="AN322" s="43">
        <v>0</v>
      </c>
      <c r="AO322" s="43">
        <v>0</v>
      </c>
      <c r="AP322" s="43">
        <v>0</v>
      </c>
      <c r="AQ322" s="43">
        <v>0</v>
      </c>
      <c r="AR322" s="43">
        <v>0</v>
      </c>
      <c r="AS322" s="43">
        <v>0</v>
      </c>
      <c r="AT322" s="43">
        <v>0</v>
      </c>
      <c r="AU322" s="43">
        <v>0</v>
      </c>
      <c r="AV322" s="43">
        <v>0</v>
      </c>
      <c r="AW322" s="43">
        <v>0</v>
      </c>
      <c r="AX322" s="43">
        <v>0</v>
      </c>
      <c r="AY322" s="43">
        <v>0</v>
      </c>
      <c r="AZ322" s="43">
        <v>0</v>
      </c>
      <c r="BA322" s="43">
        <v>0</v>
      </c>
      <c r="BB322" s="43">
        <v>0</v>
      </c>
      <c r="BC322" s="43">
        <v>0</v>
      </c>
      <c r="BD322" s="43">
        <v>0</v>
      </c>
      <c r="BE322" s="43">
        <v>0</v>
      </c>
      <c r="BF322" s="43">
        <v>0</v>
      </c>
    </row>
    <row r="323" spans="1:58" s="21" customFormat="1" ht="14.1" customHeight="1">
      <c r="A323" s="412">
        <f t="shared" si="716"/>
        <v>317</v>
      </c>
      <c r="B323" s="20" t="s">
        <v>208</v>
      </c>
      <c r="C323" s="86">
        <f>SUM(C319:C322)</f>
        <v>-9516853.0800000001</v>
      </c>
      <c r="D323" s="86">
        <f>SUM(D319:D322)</f>
        <v>0</v>
      </c>
      <c r="E323" s="86">
        <f>SUM(E319:E322)</f>
        <v>0</v>
      </c>
      <c r="F323" s="86">
        <f t="shared" ref="F323" si="790">SUM(F319:F322)</f>
        <v>0</v>
      </c>
      <c r="G323" s="86">
        <f t="shared" ref="G323" si="791">SUM(G319:G322)</f>
        <v>0</v>
      </c>
      <c r="H323" s="86">
        <f t="shared" ref="H323:BE323" si="792">SUM(H319:H322)</f>
        <v>22559.919999999998</v>
      </c>
      <c r="I323" s="86">
        <f>SUM(I319:I322)</f>
        <v>-2383768</v>
      </c>
      <c r="J323" s="86">
        <f>SUM(J319:J322)</f>
        <v>0</v>
      </c>
      <c r="K323" s="86">
        <f>SUM(K319:K322)</f>
        <v>0</v>
      </c>
      <c r="L323" s="86">
        <f t="shared" ref="L323" si="793">SUM(L319:L322)</f>
        <v>372542</v>
      </c>
      <c r="M323" s="86">
        <f t="shared" ref="M323:AB323" si="794">SUM(M319:M322)</f>
        <v>0</v>
      </c>
      <c r="N323" s="86">
        <f t="shared" si="794"/>
        <v>0</v>
      </c>
      <c r="O323" s="86">
        <f t="shared" si="794"/>
        <v>0</v>
      </c>
      <c r="P323" s="86">
        <f t="shared" si="794"/>
        <v>0</v>
      </c>
      <c r="Q323" s="86">
        <f t="shared" si="794"/>
        <v>-1931642</v>
      </c>
      <c r="R323" s="86">
        <f t="shared" si="794"/>
        <v>5871000</v>
      </c>
      <c r="S323" s="86">
        <f t="shared" si="794"/>
        <v>0</v>
      </c>
      <c r="T323" s="86">
        <f t="shared" si="794"/>
        <v>0</v>
      </c>
      <c r="U323" s="86">
        <f t="shared" si="794"/>
        <v>0</v>
      </c>
      <c r="V323" s="86">
        <f t="shared" si="794"/>
        <v>0</v>
      </c>
      <c r="W323" s="86">
        <f t="shared" si="794"/>
        <v>0</v>
      </c>
      <c r="X323" s="86">
        <f t="shared" si="794"/>
        <v>0</v>
      </c>
      <c r="Y323" s="86">
        <f t="shared" si="794"/>
        <v>0</v>
      </c>
      <c r="Z323" s="86">
        <f t="shared" si="794"/>
        <v>0</v>
      </c>
      <c r="AA323" s="86">
        <f t="shared" si="794"/>
        <v>0</v>
      </c>
      <c r="AB323" s="86">
        <f t="shared" si="794"/>
        <v>-848165</v>
      </c>
      <c r="AC323" s="86">
        <f t="shared" ref="AC323" si="795">SUM(AC319:AC322)</f>
        <v>-11501584</v>
      </c>
      <c r="AD323" s="86">
        <f>SUM(AD319:AD322)</f>
        <v>882204</v>
      </c>
      <c r="AE323" s="86">
        <f>SUM(AE319:AE322)</f>
        <v>0</v>
      </c>
      <c r="AF323" s="86">
        <f t="shared" ref="AF323" si="796">SUM(AF319:AF322)</f>
        <v>0</v>
      </c>
      <c r="AG323" s="86">
        <f t="shared" ref="AG323" si="797">SUM(AG319:AG322)</f>
        <v>0</v>
      </c>
      <c r="AH323" s="86">
        <f>SUM(AH319:AH322)</f>
        <v>0</v>
      </c>
      <c r="AI323" s="86">
        <f>SUM(AI319:AI322)</f>
        <v>0</v>
      </c>
      <c r="AJ323" s="86">
        <f t="shared" ref="AJ323" si="798">SUM(AJ319:AJ322)</f>
        <v>0</v>
      </c>
      <c r="AK323" s="86">
        <f t="shared" ref="AK323:AU323" si="799">SUM(AK319:AK322)</f>
        <v>0</v>
      </c>
      <c r="AL323" s="86">
        <f t="shared" si="799"/>
        <v>0</v>
      </c>
      <c r="AM323" s="86">
        <f t="shared" si="799"/>
        <v>0</v>
      </c>
      <c r="AN323" s="86">
        <f t="shared" si="799"/>
        <v>0</v>
      </c>
      <c r="AO323" s="86">
        <f t="shared" si="799"/>
        <v>0</v>
      </c>
      <c r="AP323" s="86">
        <f t="shared" si="799"/>
        <v>0</v>
      </c>
      <c r="AQ323" s="86">
        <f t="shared" si="799"/>
        <v>0</v>
      </c>
      <c r="AR323" s="86">
        <f t="shared" si="799"/>
        <v>0</v>
      </c>
      <c r="AS323" s="86">
        <f t="shared" si="799"/>
        <v>0</v>
      </c>
      <c r="AT323" s="86">
        <f t="shared" si="799"/>
        <v>0</v>
      </c>
      <c r="AU323" s="86">
        <f t="shared" si="799"/>
        <v>0</v>
      </c>
      <c r="AV323" s="86">
        <f>SUM(AV319:AV322)</f>
        <v>0</v>
      </c>
      <c r="AW323" s="86">
        <f>SUM(AW319:AW322)</f>
        <v>0</v>
      </c>
      <c r="AX323" s="86">
        <f t="shared" si="792"/>
        <v>0</v>
      </c>
      <c r="AY323" s="86">
        <f t="shared" si="792"/>
        <v>0</v>
      </c>
      <c r="AZ323" s="86">
        <f t="shared" si="792"/>
        <v>0</v>
      </c>
      <c r="BA323" s="86">
        <f t="shared" si="792"/>
        <v>0</v>
      </c>
      <c r="BB323" s="86">
        <f t="shared" si="792"/>
        <v>0</v>
      </c>
      <c r="BC323" s="86">
        <f t="shared" si="792"/>
        <v>0</v>
      </c>
      <c r="BD323" s="86">
        <f t="shared" si="792"/>
        <v>0</v>
      </c>
      <c r="BE323" s="86">
        <f t="shared" si="792"/>
        <v>0</v>
      </c>
      <c r="BF323" s="86">
        <f>SUM(BF319:BF322)</f>
        <v>0</v>
      </c>
    </row>
    <row r="324" spans="1:58" s="21" customFormat="1" ht="14.1" customHeight="1">
      <c r="A324" s="412">
        <f t="shared" si="716"/>
        <v>318</v>
      </c>
      <c r="B324" s="57"/>
      <c r="C324" s="156"/>
      <c r="D324" s="156"/>
      <c r="E324" s="156"/>
      <c r="F324" s="156"/>
      <c r="G324" s="156"/>
      <c r="H324" s="156"/>
      <c r="I324" s="156"/>
      <c r="J324" s="156"/>
      <c r="K324" s="156"/>
      <c r="L324" s="156"/>
      <c r="M324" s="156"/>
      <c r="N324" s="156"/>
      <c r="O324" s="156"/>
      <c r="P324" s="156"/>
      <c r="Q324" s="156"/>
      <c r="R324" s="156"/>
      <c r="S324" s="156"/>
      <c r="T324" s="156"/>
      <c r="U324" s="156"/>
      <c r="V324" s="156"/>
      <c r="W324" s="156"/>
      <c r="X324" s="156"/>
      <c r="Y324" s="156"/>
      <c r="Z324" s="156"/>
      <c r="AA324" s="156"/>
      <c r="AB324" s="156"/>
      <c r="AC324" s="156"/>
      <c r="AD324" s="156"/>
      <c r="AE324" s="156"/>
      <c r="AF324" s="156"/>
      <c r="AG324" s="156"/>
      <c r="AH324" s="156"/>
      <c r="AI324" s="156"/>
      <c r="AJ324" s="156"/>
      <c r="AK324" s="156"/>
      <c r="AL324" s="156"/>
      <c r="AM324" s="156"/>
      <c r="AN324" s="156"/>
      <c r="AO324" s="156"/>
      <c r="AP324" s="156"/>
      <c r="AQ324" s="156"/>
      <c r="AR324" s="156"/>
      <c r="AS324" s="156"/>
      <c r="AT324" s="156"/>
      <c r="AU324" s="156"/>
      <c r="AV324" s="156"/>
      <c r="AW324" s="156"/>
      <c r="AX324" s="156"/>
      <c r="AY324" s="156"/>
      <c r="AZ324" s="156"/>
      <c r="BA324" s="156"/>
      <c r="BB324" s="156"/>
      <c r="BC324" s="156"/>
      <c r="BD324" s="156"/>
      <c r="BE324" s="156"/>
      <c r="BF324" s="156"/>
    </row>
    <row r="325" spans="1:58" ht="14.1" customHeight="1">
      <c r="A325" s="412">
        <f t="shared" si="716"/>
        <v>319</v>
      </c>
      <c r="B325" s="20" t="s">
        <v>209</v>
      </c>
      <c r="C325" s="16">
        <f>C323+C316</f>
        <v>-15129077</v>
      </c>
      <c r="D325" s="16">
        <f>D323+D316</f>
        <v>0</v>
      </c>
      <c r="E325" s="16">
        <f>E323+E316</f>
        <v>53</v>
      </c>
      <c r="F325" s="16">
        <f t="shared" ref="F325" si="800">F323+F316</f>
        <v>-3927716</v>
      </c>
      <c r="G325" s="16">
        <f t="shared" ref="G325" si="801">G323+G316</f>
        <v>0</v>
      </c>
      <c r="H325" s="16">
        <f t="shared" ref="H325:BE325" si="802">H323+H316</f>
        <v>-667402.98</v>
      </c>
      <c r="I325" s="16">
        <f>I323+I316</f>
        <v>-5023081</v>
      </c>
      <c r="J325" s="16">
        <f>J323+J316</f>
        <v>2211941.64</v>
      </c>
      <c r="K325" s="16">
        <f>K323+K316</f>
        <v>173874.68</v>
      </c>
      <c r="L325" s="16">
        <f t="shared" ref="L325" si="803">L323+L316</f>
        <v>372542</v>
      </c>
      <c r="M325" s="16">
        <f t="shared" ref="M325:AB325" si="804">M323+M316</f>
        <v>0</v>
      </c>
      <c r="N325" s="16">
        <f t="shared" si="804"/>
        <v>0</v>
      </c>
      <c r="O325" s="16">
        <f t="shared" si="804"/>
        <v>0</v>
      </c>
      <c r="P325" s="16">
        <f t="shared" si="804"/>
        <v>0</v>
      </c>
      <c r="Q325" s="16">
        <f t="shared" si="804"/>
        <v>-1931642</v>
      </c>
      <c r="R325" s="16">
        <f t="shared" si="804"/>
        <v>5871000</v>
      </c>
      <c r="S325" s="16">
        <f t="shared" si="804"/>
        <v>0</v>
      </c>
      <c r="T325" s="16">
        <f t="shared" si="804"/>
        <v>0</v>
      </c>
      <c r="U325" s="16">
        <f t="shared" si="804"/>
        <v>0</v>
      </c>
      <c r="V325" s="16">
        <f t="shared" si="804"/>
        <v>0</v>
      </c>
      <c r="W325" s="16">
        <f t="shared" si="804"/>
        <v>0</v>
      </c>
      <c r="X325" s="16">
        <f t="shared" si="804"/>
        <v>0</v>
      </c>
      <c r="Y325" s="16">
        <f t="shared" si="804"/>
        <v>10878.220000000001</v>
      </c>
      <c r="Z325" s="16">
        <f t="shared" si="804"/>
        <v>0</v>
      </c>
      <c r="AA325" s="16">
        <f t="shared" si="804"/>
        <v>0</v>
      </c>
      <c r="AB325" s="16">
        <f t="shared" si="804"/>
        <v>-848165</v>
      </c>
      <c r="AC325" s="16">
        <f t="shared" ref="AC325" si="805">AC323+AC316</f>
        <v>-11501584</v>
      </c>
      <c r="AD325" s="16">
        <f>AD323+AD316</f>
        <v>882204</v>
      </c>
      <c r="AE325" s="16">
        <f>AE323+AE316</f>
        <v>0</v>
      </c>
      <c r="AF325" s="16">
        <f t="shared" ref="AF325" si="806">AF323+AF316</f>
        <v>0</v>
      </c>
      <c r="AG325" s="16">
        <f t="shared" ref="AG325" si="807">AG323+AG316</f>
        <v>0</v>
      </c>
      <c r="AH325" s="16">
        <f>AH323+AH316</f>
        <v>-35433</v>
      </c>
      <c r="AI325" s="16">
        <f>AI323+AI316</f>
        <v>-442194</v>
      </c>
      <c r="AJ325" s="16">
        <f t="shared" ref="AJ325" si="808">AJ323+AJ316</f>
        <v>-18.559999999999999</v>
      </c>
      <c r="AK325" s="16">
        <f t="shared" ref="AK325:AU325" si="809">AK323+AK316</f>
        <v>-274334</v>
      </c>
      <c r="AL325" s="16">
        <f t="shared" si="809"/>
        <v>0</v>
      </c>
      <c r="AM325" s="16">
        <f t="shared" si="809"/>
        <v>0</v>
      </c>
      <c r="AN325" s="16">
        <f t="shared" si="809"/>
        <v>0</v>
      </c>
      <c r="AO325" s="16">
        <f t="shared" si="809"/>
        <v>0</v>
      </c>
      <c r="AP325" s="16">
        <f t="shared" si="809"/>
        <v>0</v>
      </c>
      <c r="AQ325" s="16">
        <f t="shared" si="809"/>
        <v>0</v>
      </c>
      <c r="AR325" s="16">
        <f t="shared" si="809"/>
        <v>0</v>
      </c>
      <c r="AS325" s="16">
        <f t="shared" si="809"/>
        <v>0</v>
      </c>
      <c r="AT325" s="16">
        <f t="shared" si="809"/>
        <v>0</v>
      </c>
      <c r="AU325" s="16">
        <f t="shared" si="809"/>
        <v>0</v>
      </c>
      <c r="AV325" s="16">
        <f>AV323+AV316</f>
        <v>0</v>
      </c>
      <c r="AW325" s="16">
        <f>AW323+AW316</f>
        <v>0</v>
      </c>
      <c r="AX325" s="16">
        <f t="shared" si="802"/>
        <v>0</v>
      </c>
      <c r="AY325" s="16">
        <f t="shared" si="802"/>
        <v>0</v>
      </c>
      <c r="AZ325" s="16">
        <f t="shared" si="802"/>
        <v>0</v>
      </c>
      <c r="BA325" s="16">
        <f t="shared" si="802"/>
        <v>0</v>
      </c>
      <c r="BB325" s="16">
        <f t="shared" si="802"/>
        <v>0</v>
      </c>
      <c r="BC325" s="16">
        <f t="shared" si="802"/>
        <v>0</v>
      </c>
      <c r="BD325" s="16">
        <f t="shared" si="802"/>
        <v>0</v>
      </c>
      <c r="BE325" s="16">
        <f t="shared" si="802"/>
        <v>0</v>
      </c>
      <c r="BF325" s="16">
        <f>BF323+BF316</f>
        <v>0</v>
      </c>
    </row>
    <row r="326" spans="1:58" ht="14.1" customHeight="1">
      <c r="A326" s="412">
        <f t="shared" si="716"/>
        <v>320</v>
      </c>
      <c r="B326" s="134"/>
      <c r="C326" s="134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</row>
    <row r="327" spans="1:58" ht="14.1" customHeight="1">
      <c r="A327" s="412">
        <f t="shared" si="716"/>
        <v>321</v>
      </c>
      <c r="B327" s="13" t="s">
        <v>210</v>
      </c>
      <c r="C327" s="13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</row>
    <row r="328" spans="1:58" ht="14.1" customHeight="1">
      <c r="A328" s="412">
        <f t="shared" si="716"/>
        <v>322</v>
      </c>
      <c r="B328" s="22" t="s">
        <v>211</v>
      </c>
      <c r="C328" s="38">
        <f t="shared" ref="C328:C338" si="810">SUM(D328:BF328)</f>
        <v>0</v>
      </c>
      <c r="D328" s="10">
        <v>0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>
        <v>0</v>
      </c>
      <c r="M328" s="10">
        <v>0</v>
      </c>
      <c r="N328" s="10">
        <v>0</v>
      </c>
      <c r="O328" s="10">
        <v>0</v>
      </c>
      <c r="P328" s="10">
        <v>0</v>
      </c>
      <c r="Q328" s="10">
        <v>0</v>
      </c>
      <c r="R328" s="10">
        <v>0</v>
      </c>
      <c r="S328" s="10">
        <v>0</v>
      </c>
      <c r="T328" s="10">
        <v>0</v>
      </c>
      <c r="U328" s="10">
        <v>0</v>
      </c>
      <c r="V328" s="10">
        <v>0</v>
      </c>
      <c r="W328" s="10">
        <v>0</v>
      </c>
      <c r="X328" s="10">
        <v>0</v>
      </c>
      <c r="Y328" s="10">
        <v>0</v>
      </c>
      <c r="Z328" s="10">
        <v>0</v>
      </c>
      <c r="AA328" s="10">
        <v>0</v>
      </c>
      <c r="AB328" s="10">
        <v>0</v>
      </c>
      <c r="AC328" s="10">
        <v>0</v>
      </c>
      <c r="AD328" s="10">
        <v>0</v>
      </c>
      <c r="AE328" s="10">
        <v>0</v>
      </c>
      <c r="AF328" s="10">
        <v>0</v>
      </c>
      <c r="AG328" s="10">
        <v>0</v>
      </c>
      <c r="AH328" s="10">
        <v>0</v>
      </c>
      <c r="AI328" s="10">
        <v>0</v>
      </c>
      <c r="AJ328" s="10">
        <v>0</v>
      </c>
      <c r="AK328" s="10">
        <v>0</v>
      </c>
      <c r="AL328" s="10">
        <v>0</v>
      </c>
      <c r="AM328" s="10">
        <v>0</v>
      </c>
      <c r="AN328" s="10">
        <v>0</v>
      </c>
      <c r="AO328" s="10">
        <v>0</v>
      </c>
      <c r="AP328" s="10">
        <v>0</v>
      </c>
      <c r="AQ328" s="10">
        <v>0</v>
      </c>
      <c r="AR328" s="10">
        <v>0</v>
      </c>
      <c r="AS328" s="10">
        <v>0</v>
      </c>
      <c r="AT328" s="10">
        <v>0</v>
      </c>
      <c r="AU328" s="10">
        <v>0</v>
      </c>
      <c r="AV328" s="10">
        <v>0</v>
      </c>
      <c r="AW328" s="10">
        <v>0</v>
      </c>
      <c r="AX328" s="10">
        <v>0</v>
      </c>
      <c r="AY328" s="10">
        <v>0</v>
      </c>
      <c r="AZ328" s="10">
        <v>0</v>
      </c>
      <c r="BA328" s="10">
        <v>0</v>
      </c>
      <c r="BB328" s="10">
        <v>0</v>
      </c>
      <c r="BC328" s="10">
        <v>0</v>
      </c>
      <c r="BD328" s="10">
        <v>0</v>
      </c>
      <c r="BE328" s="10">
        <v>0</v>
      </c>
      <c r="BF328" s="10">
        <v>0</v>
      </c>
    </row>
    <row r="329" spans="1:58" ht="14.1" customHeight="1">
      <c r="A329" s="412">
        <f t="shared" si="716"/>
        <v>323</v>
      </c>
      <c r="B329" s="22" t="s">
        <v>321</v>
      </c>
      <c r="C329" s="38">
        <f t="shared" si="810"/>
        <v>69117</v>
      </c>
      <c r="D329" s="10">
        <v>0</v>
      </c>
      <c r="E329" s="10">
        <v>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10">
        <v>0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0</v>
      </c>
      <c r="T329" s="10">
        <v>0</v>
      </c>
      <c r="U329" s="10">
        <v>0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0</v>
      </c>
      <c r="AB329" s="10">
        <v>0</v>
      </c>
      <c r="AC329" s="10">
        <v>0</v>
      </c>
      <c r="AD329" s="10">
        <v>0</v>
      </c>
      <c r="AE329" s="10">
        <v>0</v>
      </c>
      <c r="AF329" s="10">
        <f>55658+13459</f>
        <v>69117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v>0</v>
      </c>
      <c r="AU329" s="10">
        <v>0</v>
      </c>
      <c r="AV329" s="10">
        <v>0</v>
      </c>
      <c r="AW329" s="10">
        <v>0</v>
      </c>
      <c r="AX329" s="10">
        <v>0</v>
      </c>
      <c r="AY329" s="10">
        <v>0</v>
      </c>
      <c r="AZ329" s="10">
        <v>0</v>
      </c>
      <c r="BA329" s="10">
        <v>0</v>
      </c>
      <c r="BB329" s="10">
        <v>0</v>
      </c>
      <c r="BC329" s="10">
        <v>0</v>
      </c>
      <c r="BD329" s="10">
        <v>0</v>
      </c>
      <c r="BE329" s="10">
        <v>0</v>
      </c>
      <c r="BF329" s="10">
        <v>0</v>
      </c>
    </row>
    <row r="330" spans="1:58" ht="14.1" customHeight="1">
      <c r="A330" s="412">
        <f t="shared" si="716"/>
        <v>324</v>
      </c>
      <c r="B330" s="22" t="s">
        <v>212</v>
      </c>
      <c r="C330" s="38">
        <f t="shared" si="810"/>
        <v>0</v>
      </c>
      <c r="D330" s="10">
        <v>0</v>
      </c>
      <c r="E330" s="10">
        <v>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10">
        <v>0</v>
      </c>
      <c r="M330" s="10">
        <v>0</v>
      </c>
      <c r="N330" s="10">
        <v>0</v>
      </c>
      <c r="O330" s="10">
        <v>0</v>
      </c>
      <c r="P330" s="10">
        <v>0</v>
      </c>
      <c r="Q330" s="10">
        <v>0</v>
      </c>
      <c r="R330" s="10">
        <v>0</v>
      </c>
      <c r="S330" s="10">
        <v>0</v>
      </c>
      <c r="T330" s="10">
        <v>0</v>
      </c>
      <c r="U330" s="10">
        <v>0</v>
      </c>
      <c r="V330" s="10">
        <v>0</v>
      </c>
      <c r="W330" s="10">
        <v>0</v>
      </c>
      <c r="X330" s="10">
        <v>0</v>
      </c>
      <c r="Y330" s="10">
        <v>0</v>
      </c>
      <c r="Z330" s="10">
        <v>0</v>
      </c>
      <c r="AA330" s="10">
        <v>0</v>
      </c>
      <c r="AB330" s="10">
        <v>0</v>
      </c>
      <c r="AC330" s="10">
        <v>0</v>
      </c>
      <c r="AD330" s="10">
        <v>0</v>
      </c>
      <c r="AE330" s="10">
        <v>0</v>
      </c>
      <c r="AF330" s="10">
        <v>0</v>
      </c>
      <c r="AG330" s="10">
        <v>0</v>
      </c>
      <c r="AH330" s="10">
        <v>0</v>
      </c>
      <c r="AI330" s="10">
        <v>0</v>
      </c>
      <c r="AJ330" s="10">
        <v>0</v>
      </c>
      <c r="AK330" s="10">
        <v>0</v>
      </c>
      <c r="AL330" s="10">
        <v>0</v>
      </c>
      <c r="AM330" s="10">
        <v>0</v>
      </c>
      <c r="AN330" s="10">
        <v>0</v>
      </c>
      <c r="AO330" s="10">
        <v>0</v>
      </c>
      <c r="AP330" s="10">
        <v>0</v>
      </c>
      <c r="AQ330" s="10">
        <v>0</v>
      </c>
      <c r="AR330" s="10">
        <v>0</v>
      </c>
      <c r="AS330" s="10">
        <v>0</v>
      </c>
      <c r="AT330" s="10">
        <v>0</v>
      </c>
      <c r="AU330" s="10">
        <v>0</v>
      </c>
      <c r="AV330" s="10">
        <v>0</v>
      </c>
      <c r="AW330" s="10">
        <v>0</v>
      </c>
      <c r="AX330" s="10">
        <v>0</v>
      </c>
      <c r="AY330" s="10">
        <v>0</v>
      </c>
      <c r="AZ330" s="10">
        <v>0</v>
      </c>
      <c r="BA330" s="10">
        <v>0</v>
      </c>
      <c r="BB330" s="10">
        <v>0</v>
      </c>
      <c r="BC330" s="10">
        <v>0</v>
      </c>
      <c r="BD330" s="10">
        <v>0</v>
      </c>
      <c r="BE330" s="10">
        <v>0</v>
      </c>
      <c r="BF330" s="10">
        <v>0</v>
      </c>
    </row>
    <row r="331" spans="1:58" s="21" customFormat="1" ht="14.1" customHeight="1">
      <c r="A331" s="412">
        <f t="shared" si="716"/>
        <v>325</v>
      </c>
      <c r="B331" s="22" t="s">
        <v>213</v>
      </c>
      <c r="C331" s="38">
        <f t="shared" si="810"/>
        <v>0</v>
      </c>
      <c r="D331" s="10">
        <v>0</v>
      </c>
      <c r="E331" s="10">
        <v>0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0</v>
      </c>
      <c r="T331" s="10">
        <v>0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v>0</v>
      </c>
      <c r="AU331" s="10">
        <v>0</v>
      </c>
      <c r="AV331" s="10">
        <v>0</v>
      </c>
      <c r="AW331" s="10">
        <v>0</v>
      </c>
      <c r="AX331" s="10">
        <v>0</v>
      </c>
      <c r="AY331" s="10">
        <v>0</v>
      </c>
      <c r="AZ331" s="10">
        <v>0</v>
      </c>
      <c r="BA331" s="10">
        <v>0</v>
      </c>
      <c r="BB331" s="10">
        <v>0</v>
      </c>
      <c r="BC331" s="10">
        <v>0</v>
      </c>
      <c r="BD331" s="10">
        <v>0</v>
      </c>
      <c r="BE331" s="10">
        <v>0</v>
      </c>
      <c r="BF331" s="10">
        <v>0</v>
      </c>
    </row>
    <row r="332" spans="1:58" s="21" customFormat="1" ht="14.1" customHeight="1">
      <c r="A332" s="412">
        <f t="shared" si="716"/>
        <v>326</v>
      </c>
      <c r="B332" s="22" t="s">
        <v>214</v>
      </c>
      <c r="C332" s="38">
        <f t="shared" si="810"/>
        <v>0</v>
      </c>
      <c r="D332" s="10">
        <v>0</v>
      </c>
      <c r="E332" s="10">
        <v>0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0">
        <v>0</v>
      </c>
      <c r="L332" s="10">
        <v>0</v>
      </c>
      <c r="M332" s="10">
        <v>0</v>
      </c>
      <c r="N332" s="10">
        <v>0</v>
      </c>
      <c r="O332" s="10">
        <v>0</v>
      </c>
      <c r="P332" s="10">
        <v>0</v>
      </c>
      <c r="Q332" s="10">
        <v>0</v>
      </c>
      <c r="R332" s="10">
        <v>0</v>
      </c>
      <c r="S332" s="10">
        <v>0</v>
      </c>
      <c r="T332" s="10">
        <v>0</v>
      </c>
      <c r="U332" s="10">
        <v>0</v>
      </c>
      <c r="V332" s="10">
        <v>0</v>
      </c>
      <c r="W332" s="10">
        <v>0</v>
      </c>
      <c r="X332" s="10">
        <v>0</v>
      </c>
      <c r="Y332" s="10">
        <v>0</v>
      </c>
      <c r="Z332" s="10">
        <v>0</v>
      </c>
      <c r="AA332" s="10">
        <v>0</v>
      </c>
      <c r="AB332" s="10">
        <v>0</v>
      </c>
      <c r="AC332" s="10">
        <v>0</v>
      </c>
      <c r="AD332" s="10">
        <v>0</v>
      </c>
      <c r="AE332" s="10">
        <v>0</v>
      </c>
      <c r="AF332" s="10">
        <v>0</v>
      </c>
      <c r="AG332" s="10">
        <v>0</v>
      </c>
      <c r="AH332" s="10">
        <v>0</v>
      </c>
      <c r="AI332" s="10">
        <v>0</v>
      </c>
      <c r="AJ332" s="10">
        <v>0</v>
      </c>
      <c r="AK332" s="10">
        <v>0</v>
      </c>
      <c r="AL332" s="10">
        <v>0</v>
      </c>
      <c r="AM332" s="10">
        <v>0</v>
      </c>
      <c r="AN332" s="10">
        <v>0</v>
      </c>
      <c r="AO332" s="10">
        <v>0</v>
      </c>
      <c r="AP332" s="10">
        <v>0</v>
      </c>
      <c r="AQ332" s="10">
        <v>0</v>
      </c>
      <c r="AR332" s="10">
        <v>0</v>
      </c>
      <c r="AS332" s="10">
        <v>0</v>
      </c>
      <c r="AT332" s="10">
        <v>0</v>
      </c>
      <c r="AU332" s="10">
        <v>0</v>
      </c>
      <c r="AV332" s="10">
        <v>0</v>
      </c>
      <c r="AW332" s="10">
        <v>0</v>
      </c>
      <c r="AX332" s="10">
        <v>0</v>
      </c>
      <c r="AY332" s="10">
        <v>0</v>
      </c>
      <c r="AZ332" s="10">
        <v>0</v>
      </c>
      <c r="BA332" s="10">
        <v>0</v>
      </c>
      <c r="BB332" s="10">
        <v>0</v>
      </c>
      <c r="BC332" s="10">
        <v>0</v>
      </c>
      <c r="BD332" s="10">
        <v>0</v>
      </c>
      <c r="BE332" s="10">
        <v>0</v>
      </c>
      <c r="BF332" s="10">
        <v>0</v>
      </c>
    </row>
    <row r="333" spans="1:58" s="21" customFormat="1" ht="14.1" customHeight="1">
      <c r="A333" s="412">
        <f t="shared" ref="A333:A396" si="811">+A332+1</f>
        <v>327</v>
      </c>
      <c r="B333" s="22" t="s">
        <v>831</v>
      </c>
      <c r="C333" s="38">
        <f t="shared" si="810"/>
        <v>528754</v>
      </c>
      <c r="D333" s="10">
        <v>0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  <c r="L333" s="10">
        <v>0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0</v>
      </c>
      <c r="T333" s="10">
        <v>0</v>
      </c>
      <c r="U333" s="10">
        <v>0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0</v>
      </c>
      <c r="AB333" s="10">
        <v>0</v>
      </c>
      <c r="AC333" s="10">
        <v>0</v>
      </c>
      <c r="AD333" s="10">
        <v>0</v>
      </c>
      <c r="AE333" s="10">
        <f>-474666+1377278+-373858</f>
        <v>528754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v>0</v>
      </c>
      <c r="AU333" s="10">
        <v>0</v>
      </c>
      <c r="AV333" s="10">
        <v>0</v>
      </c>
      <c r="AW333" s="10">
        <v>0</v>
      </c>
      <c r="AX333" s="10">
        <v>0</v>
      </c>
      <c r="AY333" s="10">
        <v>0</v>
      </c>
      <c r="AZ333" s="10">
        <v>0</v>
      </c>
      <c r="BA333" s="10">
        <v>0</v>
      </c>
      <c r="BB333" s="10">
        <v>0</v>
      </c>
      <c r="BC333" s="10">
        <v>0</v>
      </c>
      <c r="BD333" s="10">
        <v>0</v>
      </c>
      <c r="BE333" s="10">
        <v>0</v>
      </c>
      <c r="BF333" s="10">
        <v>0</v>
      </c>
    </row>
    <row r="334" spans="1:58" s="21" customFormat="1" ht="14.1" customHeight="1">
      <c r="A334" s="412">
        <f t="shared" si="811"/>
        <v>328</v>
      </c>
      <c r="B334" s="22" t="s">
        <v>885</v>
      </c>
      <c r="C334" s="38">
        <f t="shared" si="810"/>
        <v>0</v>
      </c>
      <c r="D334" s="10">
        <v>0</v>
      </c>
      <c r="E334" s="10">
        <v>0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0</v>
      </c>
      <c r="L334" s="10">
        <v>0</v>
      </c>
      <c r="M334" s="10">
        <v>0</v>
      </c>
      <c r="N334" s="10">
        <v>0</v>
      </c>
      <c r="O334" s="10">
        <v>0</v>
      </c>
      <c r="P334" s="10">
        <v>0</v>
      </c>
      <c r="Q334" s="10">
        <v>0</v>
      </c>
      <c r="R334" s="10">
        <v>0</v>
      </c>
      <c r="S334" s="10">
        <v>0</v>
      </c>
      <c r="T334" s="10">
        <v>0</v>
      </c>
      <c r="U334" s="10">
        <v>0</v>
      </c>
      <c r="V334" s="10">
        <v>0</v>
      </c>
      <c r="W334" s="10">
        <v>0</v>
      </c>
      <c r="X334" s="10">
        <v>0</v>
      </c>
      <c r="Y334" s="10">
        <v>0</v>
      </c>
      <c r="Z334" s="10">
        <v>0</v>
      </c>
      <c r="AA334" s="10">
        <v>0</v>
      </c>
      <c r="AB334" s="10">
        <v>0</v>
      </c>
      <c r="AC334" s="10">
        <v>0</v>
      </c>
      <c r="AD334" s="10">
        <v>0</v>
      </c>
      <c r="AE334" s="10">
        <v>0</v>
      </c>
      <c r="AF334" s="10">
        <v>0</v>
      </c>
      <c r="AG334" s="10">
        <v>0</v>
      </c>
      <c r="AH334" s="10">
        <v>0</v>
      </c>
      <c r="AI334" s="10">
        <v>0</v>
      </c>
      <c r="AJ334" s="10">
        <v>0</v>
      </c>
      <c r="AK334" s="10">
        <v>0</v>
      </c>
      <c r="AL334" s="10">
        <v>0</v>
      </c>
      <c r="AM334" s="10">
        <v>0</v>
      </c>
      <c r="AN334" s="10">
        <v>0</v>
      </c>
      <c r="AO334" s="10">
        <v>0</v>
      </c>
      <c r="AP334" s="10">
        <v>0</v>
      </c>
      <c r="AQ334" s="10">
        <v>0</v>
      </c>
      <c r="AR334" s="10">
        <v>0</v>
      </c>
      <c r="AS334" s="10">
        <v>0</v>
      </c>
      <c r="AT334" s="10">
        <v>0</v>
      </c>
      <c r="AU334" s="10">
        <v>0</v>
      </c>
      <c r="AV334" s="10">
        <v>0</v>
      </c>
      <c r="AW334" s="10">
        <v>0</v>
      </c>
      <c r="AX334" s="10">
        <v>0</v>
      </c>
      <c r="AY334" s="10">
        <v>0</v>
      </c>
      <c r="AZ334" s="10">
        <v>0</v>
      </c>
      <c r="BA334" s="10">
        <v>0</v>
      </c>
      <c r="BB334" s="10">
        <v>0</v>
      </c>
      <c r="BC334" s="10">
        <v>0</v>
      </c>
      <c r="BD334" s="10">
        <v>0</v>
      </c>
      <c r="BE334" s="10">
        <v>0</v>
      </c>
      <c r="BF334" s="10">
        <v>0</v>
      </c>
    </row>
    <row r="335" spans="1:58" s="21" customFormat="1" ht="14.1" customHeight="1">
      <c r="A335" s="412">
        <f t="shared" si="811"/>
        <v>329</v>
      </c>
      <c r="B335" s="22" t="s">
        <v>830</v>
      </c>
      <c r="C335" s="38">
        <f t="shared" si="810"/>
        <v>0</v>
      </c>
      <c r="D335" s="10">
        <v>0</v>
      </c>
      <c r="E335" s="10">
        <v>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0</v>
      </c>
      <c r="T335" s="10">
        <v>0</v>
      </c>
      <c r="U335" s="10">
        <v>0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v>0</v>
      </c>
      <c r="AU335" s="10">
        <v>0</v>
      </c>
      <c r="AV335" s="10">
        <v>0</v>
      </c>
      <c r="AW335" s="10">
        <v>0</v>
      </c>
      <c r="AX335" s="10">
        <v>0</v>
      </c>
      <c r="AY335" s="10">
        <v>0</v>
      </c>
      <c r="AZ335" s="10">
        <v>0</v>
      </c>
      <c r="BA335" s="10">
        <v>0</v>
      </c>
      <c r="BB335" s="10">
        <v>0</v>
      </c>
      <c r="BC335" s="10">
        <v>0</v>
      </c>
      <c r="BD335" s="10">
        <v>0</v>
      </c>
      <c r="BE335" s="10">
        <v>0</v>
      </c>
      <c r="BF335" s="10">
        <v>0</v>
      </c>
    </row>
    <row r="336" spans="1:58" s="21" customFormat="1" ht="14.1" customHeight="1">
      <c r="A336" s="412">
        <f t="shared" si="811"/>
        <v>330</v>
      </c>
      <c r="B336" s="22" t="s">
        <v>886</v>
      </c>
      <c r="C336" s="38">
        <f t="shared" si="810"/>
        <v>0</v>
      </c>
      <c r="D336" s="10">
        <v>0</v>
      </c>
      <c r="E336" s="10">
        <v>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>
        <v>0</v>
      </c>
      <c r="O336" s="10">
        <v>0</v>
      </c>
      <c r="P336" s="10">
        <v>0</v>
      </c>
      <c r="Q336" s="10">
        <v>0</v>
      </c>
      <c r="R336" s="10">
        <v>0</v>
      </c>
      <c r="S336" s="10">
        <v>0</v>
      </c>
      <c r="T336" s="10">
        <v>0</v>
      </c>
      <c r="U336" s="10">
        <v>0</v>
      </c>
      <c r="V336" s="10">
        <v>0</v>
      </c>
      <c r="W336" s="10">
        <v>0</v>
      </c>
      <c r="X336" s="10">
        <v>0</v>
      </c>
      <c r="Y336" s="10">
        <v>0</v>
      </c>
      <c r="Z336" s="10">
        <v>0</v>
      </c>
      <c r="AA336" s="10">
        <v>0</v>
      </c>
      <c r="AB336" s="10">
        <v>0</v>
      </c>
      <c r="AC336" s="10">
        <v>0</v>
      </c>
      <c r="AD336" s="10">
        <v>0</v>
      </c>
      <c r="AE336" s="10">
        <v>0</v>
      </c>
      <c r="AF336" s="10">
        <v>0</v>
      </c>
      <c r="AG336" s="10">
        <v>0</v>
      </c>
      <c r="AH336" s="10">
        <v>0</v>
      </c>
      <c r="AI336" s="10">
        <v>0</v>
      </c>
      <c r="AJ336" s="10">
        <v>0</v>
      </c>
      <c r="AK336" s="10">
        <v>0</v>
      </c>
      <c r="AL336" s="10">
        <v>0</v>
      </c>
      <c r="AM336" s="10">
        <v>0</v>
      </c>
      <c r="AN336" s="10">
        <v>0</v>
      </c>
      <c r="AO336" s="10">
        <v>0</v>
      </c>
      <c r="AP336" s="10">
        <v>0</v>
      </c>
      <c r="AQ336" s="10">
        <v>0</v>
      </c>
      <c r="AR336" s="10">
        <v>0</v>
      </c>
      <c r="AS336" s="10">
        <v>0</v>
      </c>
      <c r="AT336" s="10">
        <v>0</v>
      </c>
      <c r="AU336" s="10">
        <v>0</v>
      </c>
      <c r="AV336" s="10">
        <v>0</v>
      </c>
      <c r="AW336" s="10">
        <v>0</v>
      </c>
      <c r="AX336" s="10">
        <v>0</v>
      </c>
      <c r="AY336" s="10">
        <v>0</v>
      </c>
      <c r="AZ336" s="10">
        <v>0</v>
      </c>
      <c r="BA336" s="10">
        <v>0</v>
      </c>
      <c r="BB336" s="10">
        <v>0</v>
      </c>
      <c r="BC336" s="10">
        <v>0</v>
      </c>
      <c r="BD336" s="10">
        <v>0</v>
      </c>
      <c r="BE336" s="10">
        <v>0</v>
      </c>
      <c r="BF336" s="10">
        <v>0</v>
      </c>
    </row>
    <row r="337" spans="1:58" s="21" customFormat="1" ht="14.1" customHeight="1">
      <c r="A337" s="412">
        <f t="shared" si="811"/>
        <v>331</v>
      </c>
      <c r="B337" s="22" t="s">
        <v>215</v>
      </c>
      <c r="C337" s="38">
        <f t="shared" si="810"/>
        <v>498.01</v>
      </c>
      <c r="D337" s="10">
        <v>0</v>
      </c>
      <c r="E337" s="10">
        <v>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0</v>
      </c>
      <c r="T337" s="10">
        <v>0</v>
      </c>
      <c r="U337" s="10">
        <v>0</v>
      </c>
      <c r="V337" s="10">
        <v>0</v>
      </c>
      <c r="W337" s="10">
        <v>0</v>
      </c>
      <c r="X337" s="10">
        <v>0</v>
      </c>
      <c r="Y337" s="10">
        <v>498.01</v>
      </c>
      <c r="Z337" s="10">
        <v>0</v>
      </c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v>0</v>
      </c>
      <c r="AU337" s="10">
        <v>0</v>
      </c>
      <c r="AV337" s="10">
        <v>0</v>
      </c>
      <c r="AW337" s="10">
        <v>0</v>
      </c>
      <c r="AX337" s="10">
        <v>0</v>
      </c>
      <c r="AY337" s="10">
        <v>0</v>
      </c>
      <c r="AZ337" s="10">
        <v>0</v>
      </c>
      <c r="BA337" s="10">
        <v>0</v>
      </c>
      <c r="BB337" s="10">
        <v>0</v>
      </c>
      <c r="BC337" s="10">
        <v>0</v>
      </c>
      <c r="BD337" s="10">
        <v>0</v>
      </c>
      <c r="BE337" s="10">
        <v>0</v>
      </c>
      <c r="BF337" s="10">
        <v>0</v>
      </c>
    </row>
    <row r="338" spans="1:58" ht="14.1" customHeight="1">
      <c r="A338" s="412">
        <f t="shared" si="811"/>
        <v>332</v>
      </c>
      <c r="B338" s="56" t="s">
        <v>216</v>
      </c>
      <c r="C338" s="38">
        <f t="shared" si="810"/>
        <v>0</v>
      </c>
      <c r="D338" s="43">
        <v>0</v>
      </c>
      <c r="E338" s="43">
        <v>0</v>
      </c>
      <c r="F338" s="43">
        <v>0</v>
      </c>
      <c r="G338" s="43">
        <v>0</v>
      </c>
      <c r="H338" s="43">
        <v>0</v>
      </c>
      <c r="I338" s="43">
        <v>0</v>
      </c>
      <c r="J338" s="43">
        <v>0</v>
      </c>
      <c r="K338" s="43">
        <v>0</v>
      </c>
      <c r="L338" s="43">
        <v>0</v>
      </c>
      <c r="M338" s="43">
        <v>0</v>
      </c>
      <c r="N338" s="43">
        <v>0</v>
      </c>
      <c r="O338" s="43">
        <v>0</v>
      </c>
      <c r="P338" s="43">
        <v>0</v>
      </c>
      <c r="Q338" s="43">
        <v>0</v>
      </c>
      <c r="R338" s="43">
        <v>0</v>
      </c>
      <c r="S338" s="43">
        <v>0</v>
      </c>
      <c r="T338" s="43">
        <v>0</v>
      </c>
      <c r="U338" s="43">
        <v>0</v>
      </c>
      <c r="V338" s="43">
        <v>0</v>
      </c>
      <c r="W338" s="43">
        <v>0</v>
      </c>
      <c r="X338" s="43">
        <v>0</v>
      </c>
      <c r="Y338" s="43">
        <v>0</v>
      </c>
      <c r="Z338" s="43">
        <v>0</v>
      </c>
      <c r="AA338" s="43">
        <v>0</v>
      </c>
      <c r="AB338" s="43">
        <v>0</v>
      </c>
      <c r="AC338" s="43">
        <v>0</v>
      </c>
      <c r="AD338" s="43">
        <v>0</v>
      </c>
      <c r="AE338" s="43">
        <v>0</v>
      </c>
      <c r="AF338" s="43">
        <v>0</v>
      </c>
      <c r="AG338" s="43">
        <v>0</v>
      </c>
      <c r="AH338" s="43">
        <v>0</v>
      </c>
      <c r="AI338" s="43">
        <v>0</v>
      </c>
      <c r="AJ338" s="43">
        <v>0</v>
      </c>
      <c r="AK338" s="43">
        <v>0</v>
      </c>
      <c r="AL338" s="43">
        <v>0</v>
      </c>
      <c r="AM338" s="43">
        <v>0</v>
      </c>
      <c r="AN338" s="43">
        <v>0</v>
      </c>
      <c r="AO338" s="43">
        <v>0</v>
      </c>
      <c r="AP338" s="43">
        <v>0</v>
      </c>
      <c r="AQ338" s="43">
        <v>0</v>
      </c>
      <c r="AR338" s="43">
        <v>0</v>
      </c>
      <c r="AS338" s="43">
        <v>0</v>
      </c>
      <c r="AT338" s="43">
        <v>0</v>
      </c>
      <c r="AU338" s="43">
        <v>0</v>
      </c>
      <c r="AV338" s="43">
        <v>0</v>
      </c>
      <c r="AW338" s="43">
        <v>0</v>
      </c>
      <c r="AX338" s="43">
        <v>0</v>
      </c>
      <c r="AY338" s="43">
        <v>0</v>
      </c>
      <c r="AZ338" s="43">
        <v>0</v>
      </c>
      <c r="BA338" s="43">
        <v>0</v>
      </c>
      <c r="BB338" s="43">
        <v>0</v>
      </c>
      <c r="BC338" s="43">
        <v>0</v>
      </c>
      <c r="BD338" s="43">
        <v>0</v>
      </c>
      <c r="BE338" s="43">
        <v>0</v>
      </c>
      <c r="BF338" s="43">
        <v>0</v>
      </c>
    </row>
    <row r="339" spans="1:58" ht="14.1" customHeight="1">
      <c r="A339" s="412">
        <f t="shared" si="811"/>
        <v>333</v>
      </c>
      <c r="B339" s="20" t="s">
        <v>217</v>
      </c>
      <c r="C339" s="86">
        <f>SUM(C328:C338)</f>
        <v>598369.01</v>
      </c>
      <c r="D339" s="86">
        <f>SUM(D328:D338)</f>
        <v>0</v>
      </c>
      <c r="E339" s="86">
        <f>SUM(E328:E338)</f>
        <v>0</v>
      </c>
      <c r="F339" s="86">
        <f t="shared" ref="F339" si="812">SUM(F328:F338)</f>
        <v>0</v>
      </c>
      <c r="G339" s="86">
        <f t="shared" ref="G339" si="813">SUM(G328:G338)</f>
        <v>0</v>
      </c>
      <c r="H339" s="86">
        <f t="shared" ref="H339:BE339" si="814">SUM(H328:H338)</f>
        <v>0</v>
      </c>
      <c r="I339" s="86">
        <f>SUM(I328:I338)</f>
        <v>0</v>
      </c>
      <c r="J339" s="86">
        <f>SUM(J328:J338)</f>
        <v>0</v>
      </c>
      <c r="K339" s="86">
        <f>SUM(K328:K338)</f>
        <v>0</v>
      </c>
      <c r="L339" s="86">
        <f t="shared" ref="L339" si="815">SUM(L328:L338)</f>
        <v>0</v>
      </c>
      <c r="M339" s="86">
        <f t="shared" ref="M339:AB339" si="816">SUM(M328:M338)</f>
        <v>0</v>
      </c>
      <c r="N339" s="86">
        <f t="shared" si="816"/>
        <v>0</v>
      </c>
      <c r="O339" s="86">
        <f t="shared" si="816"/>
        <v>0</v>
      </c>
      <c r="P339" s="86">
        <f t="shared" si="816"/>
        <v>0</v>
      </c>
      <c r="Q339" s="86">
        <f t="shared" si="816"/>
        <v>0</v>
      </c>
      <c r="R339" s="86">
        <f t="shared" si="816"/>
        <v>0</v>
      </c>
      <c r="S339" s="86">
        <f t="shared" si="816"/>
        <v>0</v>
      </c>
      <c r="T339" s="86">
        <f t="shared" si="816"/>
        <v>0</v>
      </c>
      <c r="U339" s="86">
        <f t="shared" si="816"/>
        <v>0</v>
      </c>
      <c r="V339" s="86">
        <f t="shared" si="816"/>
        <v>0</v>
      </c>
      <c r="W339" s="86">
        <f t="shared" si="816"/>
        <v>0</v>
      </c>
      <c r="X339" s="86">
        <f t="shared" si="816"/>
        <v>0</v>
      </c>
      <c r="Y339" s="86">
        <f t="shared" si="816"/>
        <v>498.01</v>
      </c>
      <c r="Z339" s="86">
        <f t="shared" si="816"/>
        <v>0</v>
      </c>
      <c r="AA339" s="86">
        <f t="shared" si="816"/>
        <v>0</v>
      </c>
      <c r="AB339" s="86">
        <f t="shared" si="816"/>
        <v>0</v>
      </c>
      <c r="AC339" s="86">
        <f t="shared" ref="AC339" si="817">SUM(AC328:AC338)</f>
        <v>0</v>
      </c>
      <c r="AD339" s="86">
        <f>SUM(AD328:AD338)</f>
        <v>0</v>
      </c>
      <c r="AE339" s="86">
        <f>SUM(AE328:AE338)</f>
        <v>528754</v>
      </c>
      <c r="AF339" s="86">
        <f t="shared" ref="AF339" si="818">SUM(AF328:AF338)</f>
        <v>69117</v>
      </c>
      <c r="AG339" s="86">
        <f t="shared" ref="AG339" si="819">SUM(AG328:AG338)</f>
        <v>0</v>
      </c>
      <c r="AH339" s="86">
        <f>SUM(AH328:AH338)</f>
        <v>0</v>
      </c>
      <c r="AI339" s="86">
        <f>SUM(AI328:AI338)</f>
        <v>0</v>
      </c>
      <c r="AJ339" s="86">
        <f t="shared" ref="AJ339" si="820">SUM(AJ328:AJ338)</f>
        <v>0</v>
      </c>
      <c r="AK339" s="86">
        <f t="shared" ref="AK339:AU339" si="821">SUM(AK328:AK338)</f>
        <v>0</v>
      </c>
      <c r="AL339" s="86">
        <f t="shared" si="821"/>
        <v>0</v>
      </c>
      <c r="AM339" s="86">
        <f t="shared" si="821"/>
        <v>0</v>
      </c>
      <c r="AN339" s="86">
        <f t="shared" si="821"/>
        <v>0</v>
      </c>
      <c r="AO339" s="86">
        <f t="shared" si="821"/>
        <v>0</v>
      </c>
      <c r="AP339" s="86">
        <f t="shared" si="821"/>
        <v>0</v>
      </c>
      <c r="AQ339" s="86">
        <f t="shared" si="821"/>
        <v>0</v>
      </c>
      <c r="AR339" s="86">
        <f t="shared" si="821"/>
        <v>0</v>
      </c>
      <c r="AS339" s="86">
        <f t="shared" si="821"/>
        <v>0</v>
      </c>
      <c r="AT339" s="86">
        <f t="shared" si="821"/>
        <v>0</v>
      </c>
      <c r="AU339" s="86">
        <f t="shared" si="821"/>
        <v>0</v>
      </c>
      <c r="AV339" s="86">
        <f>SUM(AV328:AV338)</f>
        <v>0</v>
      </c>
      <c r="AW339" s="86">
        <f>SUM(AW328:AW338)</f>
        <v>0</v>
      </c>
      <c r="AX339" s="86">
        <f t="shared" si="814"/>
        <v>0</v>
      </c>
      <c r="AY339" s="86">
        <f t="shared" si="814"/>
        <v>0</v>
      </c>
      <c r="AZ339" s="86">
        <f t="shared" si="814"/>
        <v>0</v>
      </c>
      <c r="BA339" s="86">
        <f t="shared" si="814"/>
        <v>0</v>
      </c>
      <c r="BB339" s="86">
        <f t="shared" si="814"/>
        <v>0</v>
      </c>
      <c r="BC339" s="86">
        <f t="shared" si="814"/>
        <v>0</v>
      </c>
      <c r="BD339" s="86">
        <f t="shared" si="814"/>
        <v>0</v>
      </c>
      <c r="BE339" s="86">
        <f t="shared" si="814"/>
        <v>0</v>
      </c>
      <c r="BF339" s="86">
        <f>SUM(BF328:BF338)</f>
        <v>0</v>
      </c>
    </row>
    <row r="340" spans="1:58" ht="14.1" customHeight="1">
      <c r="A340" s="412">
        <f t="shared" si="811"/>
        <v>334</v>
      </c>
      <c r="B340" s="134"/>
      <c r="C340" s="169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</row>
    <row r="341" spans="1:58" ht="14.1" customHeight="1">
      <c r="A341" s="412">
        <f t="shared" si="811"/>
        <v>335</v>
      </c>
      <c r="B341" s="20" t="s">
        <v>218</v>
      </c>
      <c r="C341" s="23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</row>
    <row r="342" spans="1:58" ht="14.1" customHeight="1">
      <c r="A342" s="412">
        <f t="shared" si="811"/>
        <v>336</v>
      </c>
      <c r="B342" s="22" t="s">
        <v>219</v>
      </c>
      <c r="C342" s="38">
        <f t="shared" ref="C342:C348" si="822">SUM(D342:BF342)</f>
        <v>0</v>
      </c>
      <c r="D342" s="10">
        <v>0</v>
      </c>
      <c r="E342" s="10">
        <v>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10">
        <v>0</v>
      </c>
      <c r="N342" s="10">
        <v>0</v>
      </c>
      <c r="O342" s="10">
        <v>0</v>
      </c>
      <c r="P342" s="10">
        <v>0</v>
      </c>
      <c r="Q342" s="10">
        <v>0</v>
      </c>
      <c r="R342" s="10">
        <v>0</v>
      </c>
      <c r="S342" s="10">
        <v>0</v>
      </c>
      <c r="T342" s="10">
        <v>0</v>
      </c>
      <c r="U342" s="10">
        <v>0</v>
      </c>
      <c r="V342" s="10">
        <v>0</v>
      </c>
      <c r="W342" s="10">
        <v>0</v>
      </c>
      <c r="X342" s="10">
        <v>0</v>
      </c>
      <c r="Y342" s="10">
        <v>0</v>
      </c>
      <c r="Z342" s="10">
        <v>0</v>
      </c>
      <c r="AA342" s="10">
        <v>0</v>
      </c>
      <c r="AB342" s="10">
        <v>0</v>
      </c>
      <c r="AC342" s="10">
        <v>0</v>
      </c>
      <c r="AD342" s="10">
        <v>0</v>
      </c>
      <c r="AE342" s="10">
        <v>0</v>
      </c>
      <c r="AF342" s="10">
        <v>0</v>
      </c>
      <c r="AG342" s="10">
        <v>0</v>
      </c>
      <c r="AH342" s="10">
        <v>0</v>
      </c>
      <c r="AI342" s="10">
        <v>0</v>
      </c>
      <c r="AJ342" s="10">
        <v>0</v>
      </c>
      <c r="AK342" s="10">
        <v>0</v>
      </c>
      <c r="AL342" s="10">
        <v>0</v>
      </c>
      <c r="AM342" s="10">
        <v>0</v>
      </c>
      <c r="AN342" s="10">
        <v>0</v>
      </c>
      <c r="AO342" s="10">
        <v>0</v>
      </c>
      <c r="AP342" s="10">
        <v>0</v>
      </c>
      <c r="AQ342" s="10">
        <v>0</v>
      </c>
      <c r="AR342" s="10">
        <v>0</v>
      </c>
      <c r="AS342" s="10">
        <v>0</v>
      </c>
      <c r="AT342" s="10">
        <v>0</v>
      </c>
      <c r="AU342" s="10">
        <v>0</v>
      </c>
      <c r="AV342" s="10">
        <v>0</v>
      </c>
      <c r="AW342" s="10">
        <v>0</v>
      </c>
      <c r="AX342" s="10">
        <v>0</v>
      </c>
      <c r="AY342" s="10">
        <v>0</v>
      </c>
      <c r="AZ342" s="10">
        <v>0</v>
      </c>
      <c r="BA342" s="10">
        <v>0</v>
      </c>
      <c r="BB342" s="10">
        <v>0</v>
      </c>
      <c r="BC342" s="10">
        <v>0</v>
      </c>
      <c r="BD342" s="10">
        <v>0</v>
      </c>
      <c r="BE342" s="10">
        <v>0</v>
      </c>
      <c r="BF342" s="10">
        <v>0</v>
      </c>
    </row>
    <row r="343" spans="1:58" ht="14.1" customHeight="1">
      <c r="A343" s="412">
        <f t="shared" si="811"/>
        <v>337</v>
      </c>
      <c r="B343" s="22" t="s">
        <v>220</v>
      </c>
      <c r="C343" s="38">
        <f t="shared" si="822"/>
        <v>0</v>
      </c>
      <c r="D343" s="10">
        <v>0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0</v>
      </c>
      <c r="T343" s="10">
        <v>0</v>
      </c>
      <c r="U343" s="10">
        <v>0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v>0</v>
      </c>
      <c r="AU343" s="10">
        <v>0</v>
      </c>
      <c r="AV343" s="10">
        <v>0</v>
      </c>
      <c r="AW343" s="10">
        <v>0</v>
      </c>
      <c r="AX343" s="10">
        <v>0</v>
      </c>
      <c r="AY343" s="10">
        <v>0</v>
      </c>
      <c r="AZ343" s="10">
        <v>0</v>
      </c>
      <c r="BA343" s="10">
        <v>0</v>
      </c>
      <c r="BB343" s="10">
        <v>0</v>
      </c>
      <c r="BC343" s="10">
        <v>0</v>
      </c>
      <c r="BD343" s="10">
        <v>0</v>
      </c>
      <c r="BE343" s="10">
        <v>0</v>
      </c>
      <c r="BF343" s="10">
        <v>0</v>
      </c>
    </row>
    <row r="344" spans="1:58" ht="14.1" customHeight="1">
      <c r="A344" s="412">
        <f t="shared" si="811"/>
        <v>338</v>
      </c>
      <c r="B344" s="22" t="s">
        <v>221</v>
      </c>
      <c r="C344" s="38">
        <f t="shared" si="822"/>
        <v>0</v>
      </c>
      <c r="D344" s="10">
        <v>0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>
        <v>0</v>
      </c>
      <c r="M344" s="10">
        <v>0</v>
      </c>
      <c r="N344" s="10">
        <v>0</v>
      </c>
      <c r="O344" s="10">
        <v>0</v>
      </c>
      <c r="P344" s="10">
        <v>0</v>
      </c>
      <c r="Q344" s="10">
        <v>0</v>
      </c>
      <c r="R344" s="10">
        <v>0</v>
      </c>
      <c r="S344" s="10">
        <v>0</v>
      </c>
      <c r="T344" s="10">
        <v>0</v>
      </c>
      <c r="U344" s="10">
        <v>0</v>
      </c>
      <c r="V344" s="10">
        <v>0</v>
      </c>
      <c r="W344" s="10">
        <v>0</v>
      </c>
      <c r="X344" s="10">
        <v>0</v>
      </c>
      <c r="Y344" s="10">
        <v>0</v>
      </c>
      <c r="Z344" s="10">
        <v>0</v>
      </c>
      <c r="AA344" s="10">
        <v>0</v>
      </c>
      <c r="AB344" s="10">
        <v>0</v>
      </c>
      <c r="AC344" s="10">
        <v>0</v>
      </c>
      <c r="AD344" s="10">
        <v>0</v>
      </c>
      <c r="AE344" s="10">
        <v>0</v>
      </c>
      <c r="AF344" s="10">
        <v>0</v>
      </c>
      <c r="AG344" s="10">
        <v>0</v>
      </c>
      <c r="AH344" s="10">
        <v>0</v>
      </c>
      <c r="AI344" s="10">
        <v>0</v>
      </c>
      <c r="AJ344" s="10">
        <v>0</v>
      </c>
      <c r="AK344" s="10">
        <v>0</v>
      </c>
      <c r="AL344" s="10">
        <v>0</v>
      </c>
      <c r="AM344" s="10">
        <v>0</v>
      </c>
      <c r="AN344" s="10">
        <v>0</v>
      </c>
      <c r="AO344" s="10">
        <v>0</v>
      </c>
      <c r="AP344" s="10">
        <v>0</v>
      </c>
      <c r="AQ344" s="10">
        <v>0</v>
      </c>
      <c r="AR344" s="10">
        <v>0</v>
      </c>
      <c r="AS344" s="10">
        <v>0</v>
      </c>
      <c r="AT344" s="10">
        <v>0</v>
      </c>
      <c r="AU344" s="10">
        <v>0</v>
      </c>
      <c r="AV344" s="10">
        <v>0</v>
      </c>
      <c r="AW344" s="10">
        <v>0</v>
      </c>
      <c r="AX344" s="10">
        <v>0</v>
      </c>
      <c r="AY344" s="10">
        <v>0</v>
      </c>
      <c r="AZ344" s="10">
        <v>0</v>
      </c>
      <c r="BA344" s="10">
        <v>0</v>
      </c>
      <c r="BB344" s="10">
        <v>0</v>
      </c>
      <c r="BC344" s="10">
        <v>0</v>
      </c>
      <c r="BD344" s="10">
        <v>0</v>
      </c>
      <c r="BE344" s="10">
        <v>0</v>
      </c>
      <c r="BF344" s="10">
        <v>0</v>
      </c>
    </row>
    <row r="345" spans="1:58" ht="14.1" customHeight="1">
      <c r="A345" s="412">
        <f t="shared" si="811"/>
        <v>339</v>
      </c>
      <c r="B345" s="22" t="s">
        <v>222</v>
      </c>
      <c r="C345" s="38">
        <f t="shared" si="822"/>
        <v>-1658.61</v>
      </c>
      <c r="D345" s="10">
        <v>0</v>
      </c>
      <c r="E345" s="10">
        <v>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>
        <v>0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0</v>
      </c>
      <c r="T345" s="10">
        <v>0</v>
      </c>
      <c r="U345" s="10">
        <v>0</v>
      </c>
      <c r="V345" s="10">
        <v>0</v>
      </c>
      <c r="W345" s="10">
        <v>0</v>
      </c>
      <c r="X345" s="10">
        <v>0</v>
      </c>
      <c r="Y345" s="10">
        <v>-46.61</v>
      </c>
      <c r="Z345" s="10">
        <v>0</v>
      </c>
      <c r="AA345" s="10">
        <v>0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-1612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v>0</v>
      </c>
      <c r="AU345" s="10">
        <v>0</v>
      </c>
      <c r="AV345" s="10">
        <v>0</v>
      </c>
      <c r="AW345" s="10">
        <v>0</v>
      </c>
      <c r="AX345" s="10">
        <v>0</v>
      </c>
      <c r="AY345" s="10">
        <v>0</v>
      </c>
      <c r="AZ345" s="10">
        <v>0</v>
      </c>
      <c r="BA345" s="10">
        <v>0</v>
      </c>
      <c r="BB345" s="10">
        <v>0</v>
      </c>
      <c r="BC345" s="10">
        <v>0</v>
      </c>
      <c r="BD345" s="10">
        <v>0</v>
      </c>
      <c r="BE345" s="10">
        <v>0</v>
      </c>
      <c r="BF345" s="10">
        <v>0</v>
      </c>
    </row>
    <row r="346" spans="1:58" ht="14.1" customHeight="1">
      <c r="A346" s="412">
        <f t="shared" si="811"/>
        <v>340</v>
      </c>
      <c r="B346" s="22" t="s">
        <v>223</v>
      </c>
      <c r="C346" s="38">
        <f t="shared" si="822"/>
        <v>0</v>
      </c>
      <c r="D346" s="10">
        <v>0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0</v>
      </c>
      <c r="R346" s="10">
        <v>0</v>
      </c>
      <c r="S346" s="10">
        <v>0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0">
        <v>0</v>
      </c>
      <c r="Z346" s="10">
        <v>0</v>
      </c>
      <c r="AA346" s="10">
        <v>0</v>
      </c>
      <c r="AB346" s="10">
        <v>0</v>
      </c>
      <c r="AC346" s="10">
        <v>0</v>
      </c>
      <c r="AD346" s="10">
        <v>0</v>
      </c>
      <c r="AE346" s="10">
        <v>0</v>
      </c>
      <c r="AF346" s="10">
        <v>0</v>
      </c>
      <c r="AG346" s="10">
        <v>0</v>
      </c>
      <c r="AH346" s="10">
        <v>0</v>
      </c>
      <c r="AI346" s="10">
        <v>0</v>
      </c>
      <c r="AJ346" s="10">
        <v>0</v>
      </c>
      <c r="AK346" s="10">
        <v>0</v>
      </c>
      <c r="AL346" s="10">
        <v>0</v>
      </c>
      <c r="AM346" s="10">
        <v>0</v>
      </c>
      <c r="AN346" s="10">
        <v>0</v>
      </c>
      <c r="AO346" s="10">
        <v>0</v>
      </c>
      <c r="AP346" s="10">
        <v>0</v>
      </c>
      <c r="AQ346" s="10">
        <v>0</v>
      </c>
      <c r="AR346" s="10">
        <v>0</v>
      </c>
      <c r="AS346" s="10">
        <v>0</v>
      </c>
      <c r="AT346" s="10">
        <v>0</v>
      </c>
      <c r="AU346" s="10">
        <v>0</v>
      </c>
      <c r="AV346" s="10">
        <v>0</v>
      </c>
      <c r="AW346" s="10">
        <v>0</v>
      </c>
      <c r="AX346" s="10">
        <v>0</v>
      </c>
      <c r="AY346" s="10">
        <v>0</v>
      </c>
      <c r="AZ346" s="10">
        <v>0</v>
      </c>
      <c r="BA346" s="10">
        <v>0</v>
      </c>
      <c r="BB346" s="10">
        <v>0</v>
      </c>
      <c r="BC346" s="10">
        <v>0</v>
      </c>
      <c r="BD346" s="10">
        <v>0</v>
      </c>
      <c r="BE346" s="10">
        <v>0</v>
      </c>
      <c r="BF346" s="10">
        <v>0</v>
      </c>
    </row>
    <row r="347" spans="1:58" ht="14.1" customHeight="1">
      <c r="A347" s="412">
        <f t="shared" si="811"/>
        <v>341</v>
      </c>
      <c r="B347" s="22" t="s">
        <v>224</v>
      </c>
      <c r="C347" s="38">
        <f t="shared" si="822"/>
        <v>0</v>
      </c>
      <c r="D347" s="43">
        <v>0</v>
      </c>
      <c r="E347" s="43">
        <v>0</v>
      </c>
      <c r="F347" s="43">
        <v>0</v>
      </c>
      <c r="G347" s="43">
        <v>0</v>
      </c>
      <c r="H347" s="43">
        <v>0</v>
      </c>
      <c r="I347" s="43">
        <v>0</v>
      </c>
      <c r="J347" s="43">
        <v>0</v>
      </c>
      <c r="K347" s="43">
        <v>0</v>
      </c>
      <c r="L347" s="43">
        <v>0</v>
      </c>
      <c r="M347" s="43">
        <v>0</v>
      </c>
      <c r="N347" s="43">
        <v>0</v>
      </c>
      <c r="O347" s="43">
        <v>0</v>
      </c>
      <c r="P347" s="43">
        <v>0</v>
      </c>
      <c r="Q347" s="43">
        <v>0</v>
      </c>
      <c r="R347" s="43">
        <v>0</v>
      </c>
      <c r="S347" s="43">
        <v>0</v>
      </c>
      <c r="T347" s="43">
        <v>0</v>
      </c>
      <c r="U347" s="43">
        <v>0</v>
      </c>
      <c r="V347" s="43">
        <v>0</v>
      </c>
      <c r="W347" s="43">
        <v>0</v>
      </c>
      <c r="X347" s="43">
        <v>0</v>
      </c>
      <c r="Y347" s="43">
        <v>0</v>
      </c>
      <c r="Z347" s="43">
        <v>0</v>
      </c>
      <c r="AA347" s="43">
        <v>0</v>
      </c>
      <c r="AB347" s="43">
        <v>0</v>
      </c>
      <c r="AC347" s="43">
        <v>0</v>
      </c>
      <c r="AD347" s="43">
        <v>0</v>
      </c>
      <c r="AE347" s="43">
        <v>0</v>
      </c>
      <c r="AF347" s="43">
        <v>0</v>
      </c>
      <c r="AG347" s="43">
        <v>0</v>
      </c>
      <c r="AH347" s="43">
        <v>0</v>
      </c>
      <c r="AI347" s="43">
        <v>0</v>
      </c>
      <c r="AJ347" s="43">
        <v>0</v>
      </c>
      <c r="AK347" s="43">
        <v>0</v>
      </c>
      <c r="AL347" s="43">
        <v>0</v>
      </c>
      <c r="AM347" s="43">
        <v>0</v>
      </c>
      <c r="AN347" s="43">
        <v>0</v>
      </c>
      <c r="AO347" s="43">
        <v>0</v>
      </c>
      <c r="AP347" s="43">
        <v>0</v>
      </c>
      <c r="AQ347" s="43">
        <v>0</v>
      </c>
      <c r="AR347" s="43">
        <v>0</v>
      </c>
      <c r="AS347" s="43">
        <v>0</v>
      </c>
      <c r="AT347" s="43">
        <v>0</v>
      </c>
      <c r="AU347" s="43">
        <v>0</v>
      </c>
      <c r="AV347" s="43">
        <v>0</v>
      </c>
      <c r="AW347" s="43">
        <v>0</v>
      </c>
      <c r="AX347" s="43">
        <v>0</v>
      </c>
      <c r="AY347" s="43">
        <v>0</v>
      </c>
      <c r="AZ347" s="43">
        <v>0</v>
      </c>
      <c r="BA347" s="43">
        <v>0</v>
      </c>
      <c r="BB347" s="43">
        <v>0</v>
      </c>
      <c r="BC347" s="43">
        <v>0</v>
      </c>
      <c r="BD347" s="43">
        <v>0</v>
      </c>
      <c r="BE347" s="43">
        <v>0</v>
      </c>
      <c r="BF347" s="43">
        <v>0</v>
      </c>
    </row>
    <row r="348" spans="1:58" ht="14.1" customHeight="1">
      <c r="A348" s="412">
        <f t="shared" si="811"/>
        <v>342</v>
      </c>
      <c r="B348" s="56" t="s">
        <v>225</v>
      </c>
      <c r="C348" s="38">
        <f t="shared" si="822"/>
        <v>49489</v>
      </c>
      <c r="D348" s="43">
        <v>0</v>
      </c>
      <c r="E348" s="43">
        <v>0</v>
      </c>
      <c r="F348" s="43">
        <v>0</v>
      </c>
      <c r="G348" s="43">
        <v>0</v>
      </c>
      <c r="H348" s="43">
        <v>0</v>
      </c>
      <c r="I348" s="43">
        <v>0</v>
      </c>
      <c r="J348" s="43">
        <v>0</v>
      </c>
      <c r="K348" s="43">
        <v>0</v>
      </c>
      <c r="L348" s="43">
        <v>0</v>
      </c>
      <c r="M348" s="43">
        <v>0</v>
      </c>
      <c r="N348" s="43">
        <v>0</v>
      </c>
      <c r="O348" s="43">
        <v>0</v>
      </c>
      <c r="P348" s="43">
        <v>0</v>
      </c>
      <c r="Q348" s="43">
        <v>0</v>
      </c>
      <c r="R348" s="43">
        <v>0</v>
      </c>
      <c r="S348" s="43">
        <v>0</v>
      </c>
      <c r="T348" s="43">
        <v>0</v>
      </c>
      <c r="U348" s="43">
        <v>0</v>
      </c>
      <c r="V348" s="43">
        <v>0</v>
      </c>
      <c r="W348" s="43">
        <v>0</v>
      </c>
      <c r="X348" s="43">
        <v>0</v>
      </c>
      <c r="Y348" s="43">
        <v>0</v>
      </c>
      <c r="Z348" s="43">
        <v>0</v>
      </c>
      <c r="AA348" s="43">
        <v>0</v>
      </c>
      <c r="AB348" s="43">
        <v>0</v>
      </c>
      <c r="AC348" s="43">
        <v>0</v>
      </c>
      <c r="AD348" s="43">
        <v>0</v>
      </c>
      <c r="AE348" s="43">
        <v>0</v>
      </c>
      <c r="AF348" s="43">
        <v>49489</v>
      </c>
      <c r="AG348" s="43">
        <v>0</v>
      </c>
      <c r="AH348" s="43">
        <v>0</v>
      </c>
      <c r="AI348" s="43">
        <v>0</v>
      </c>
      <c r="AJ348" s="43">
        <v>0</v>
      </c>
      <c r="AK348" s="43">
        <v>0</v>
      </c>
      <c r="AL348" s="43">
        <v>0</v>
      </c>
      <c r="AM348" s="43">
        <v>0</v>
      </c>
      <c r="AN348" s="43">
        <v>0</v>
      </c>
      <c r="AO348" s="43">
        <v>0</v>
      </c>
      <c r="AP348" s="43">
        <v>0</v>
      </c>
      <c r="AQ348" s="43">
        <v>0</v>
      </c>
      <c r="AR348" s="43">
        <v>0</v>
      </c>
      <c r="AS348" s="43">
        <v>0</v>
      </c>
      <c r="AT348" s="43">
        <v>0</v>
      </c>
      <c r="AU348" s="43">
        <v>0</v>
      </c>
      <c r="AV348" s="43">
        <v>0</v>
      </c>
      <c r="AW348" s="43">
        <v>0</v>
      </c>
      <c r="AX348" s="43">
        <v>0</v>
      </c>
      <c r="AY348" s="43">
        <v>0</v>
      </c>
      <c r="AZ348" s="43">
        <v>0</v>
      </c>
      <c r="BA348" s="43">
        <v>0</v>
      </c>
      <c r="BB348" s="43">
        <v>0</v>
      </c>
      <c r="BC348" s="43">
        <v>0</v>
      </c>
      <c r="BD348" s="43">
        <v>0</v>
      </c>
      <c r="BE348" s="43">
        <v>0</v>
      </c>
      <c r="BF348" s="43">
        <v>0</v>
      </c>
    </row>
    <row r="349" spans="1:58" ht="14.1" customHeight="1">
      <c r="A349" s="412">
        <f t="shared" si="811"/>
        <v>343</v>
      </c>
      <c r="B349" s="20" t="s">
        <v>226</v>
      </c>
      <c r="C349" s="214">
        <f>SUM(C342:C348)</f>
        <v>47830.39</v>
      </c>
      <c r="D349" s="214">
        <f>SUM(D342:D348)</f>
        <v>0</v>
      </c>
      <c r="E349" s="214">
        <f>SUM(E342:E348)</f>
        <v>0</v>
      </c>
      <c r="F349" s="214">
        <f t="shared" ref="F349" si="823">SUM(F342:F348)</f>
        <v>0</v>
      </c>
      <c r="G349" s="214">
        <f t="shared" ref="G349" si="824">SUM(G342:G348)</f>
        <v>0</v>
      </c>
      <c r="H349" s="214">
        <f t="shared" ref="H349:BE349" si="825">SUM(H342:H348)</f>
        <v>0</v>
      </c>
      <c r="I349" s="214">
        <f>SUM(I342:I348)</f>
        <v>0</v>
      </c>
      <c r="J349" s="214">
        <f>SUM(J342:J348)</f>
        <v>0</v>
      </c>
      <c r="K349" s="214">
        <f>SUM(K342:K348)</f>
        <v>0</v>
      </c>
      <c r="L349" s="214">
        <f t="shared" ref="L349" si="826">SUM(L342:L348)</f>
        <v>0</v>
      </c>
      <c r="M349" s="214">
        <f t="shared" ref="M349:AB349" si="827">SUM(M342:M348)</f>
        <v>0</v>
      </c>
      <c r="N349" s="214">
        <f t="shared" si="827"/>
        <v>0</v>
      </c>
      <c r="O349" s="214">
        <f t="shared" si="827"/>
        <v>0</v>
      </c>
      <c r="P349" s="214">
        <f t="shared" si="827"/>
        <v>0</v>
      </c>
      <c r="Q349" s="214">
        <f t="shared" si="827"/>
        <v>0</v>
      </c>
      <c r="R349" s="214">
        <f t="shared" si="827"/>
        <v>0</v>
      </c>
      <c r="S349" s="214">
        <f t="shared" si="827"/>
        <v>0</v>
      </c>
      <c r="T349" s="214">
        <f t="shared" si="827"/>
        <v>0</v>
      </c>
      <c r="U349" s="214">
        <f t="shared" si="827"/>
        <v>0</v>
      </c>
      <c r="V349" s="214">
        <f t="shared" si="827"/>
        <v>0</v>
      </c>
      <c r="W349" s="214">
        <f t="shared" si="827"/>
        <v>0</v>
      </c>
      <c r="X349" s="214">
        <f t="shared" si="827"/>
        <v>0</v>
      </c>
      <c r="Y349" s="214">
        <f t="shared" si="827"/>
        <v>-46.61</v>
      </c>
      <c r="Z349" s="214">
        <f t="shared" si="827"/>
        <v>0</v>
      </c>
      <c r="AA349" s="214">
        <f t="shared" si="827"/>
        <v>0</v>
      </c>
      <c r="AB349" s="214">
        <f t="shared" si="827"/>
        <v>0</v>
      </c>
      <c r="AC349" s="214">
        <f t="shared" ref="AC349" si="828">SUM(AC342:AC348)</f>
        <v>0</v>
      </c>
      <c r="AD349" s="214">
        <f>SUM(AD342:AD348)</f>
        <v>0</v>
      </c>
      <c r="AE349" s="214">
        <f>SUM(AE342:AE348)</f>
        <v>0</v>
      </c>
      <c r="AF349" s="214">
        <f t="shared" ref="AF349" si="829">SUM(AF342:AF348)</f>
        <v>49489</v>
      </c>
      <c r="AG349" s="214">
        <f t="shared" ref="AG349" si="830">SUM(AG342:AG348)</f>
        <v>0</v>
      </c>
      <c r="AH349" s="214">
        <f>SUM(AH342:AH348)</f>
        <v>0</v>
      </c>
      <c r="AI349" s="214">
        <f>SUM(AI342:AI348)</f>
        <v>-1612</v>
      </c>
      <c r="AJ349" s="214">
        <f t="shared" ref="AJ349" si="831">SUM(AJ342:AJ348)</f>
        <v>0</v>
      </c>
      <c r="AK349" s="214">
        <f t="shared" ref="AK349:AU349" si="832">SUM(AK342:AK348)</f>
        <v>0</v>
      </c>
      <c r="AL349" s="214">
        <f t="shared" si="832"/>
        <v>0</v>
      </c>
      <c r="AM349" s="214">
        <f t="shared" si="832"/>
        <v>0</v>
      </c>
      <c r="AN349" s="214">
        <f t="shared" si="832"/>
        <v>0</v>
      </c>
      <c r="AO349" s="214">
        <f t="shared" si="832"/>
        <v>0</v>
      </c>
      <c r="AP349" s="214">
        <f t="shared" si="832"/>
        <v>0</v>
      </c>
      <c r="AQ349" s="214">
        <f t="shared" si="832"/>
        <v>0</v>
      </c>
      <c r="AR349" s="214">
        <f t="shared" si="832"/>
        <v>0</v>
      </c>
      <c r="AS349" s="214">
        <f t="shared" si="832"/>
        <v>0</v>
      </c>
      <c r="AT349" s="214">
        <f t="shared" si="832"/>
        <v>0</v>
      </c>
      <c r="AU349" s="214">
        <f t="shared" si="832"/>
        <v>0</v>
      </c>
      <c r="AV349" s="214">
        <f>SUM(AV342:AV348)</f>
        <v>0</v>
      </c>
      <c r="AW349" s="214">
        <f>SUM(AW342:AW348)</f>
        <v>0</v>
      </c>
      <c r="AX349" s="214">
        <f t="shared" si="825"/>
        <v>0</v>
      </c>
      <c r="AY349" s="214">
        <f t="shared" si="825"/>
        <v>0</v>
      </c>
      <c r="AZ349" s="214">
        <f t="shared" si="825"/>
        <v>0</v>
      </c>
      <c r="BA349" s="214">
        <f t="shared" si="825"/>
        <v>0</v>
      </c>
      <c r="BB349" s="214">
        <f t="shared" si="825"/>
        <v>0</v>
      </c>
      <c r="BC349" s="214">
        <f t="shared" si="825"/>
        <v>0</v>
      </c>
      <c r="BD349" s="214">
        <f t="shared" si="825"/>
        <v>0</v>
      </c>
      <c r="BE349" s="214">
        <f t="shared" si="825"/>
        <v>0</v>
      </c>
      <c r="BF349" s="214">
        <f>SUM(BF342:BF348)</f>
        <v>0</v>
      </c>
    </row>
    <row r="350" spans="1:58" ht="14.1" customHeight="1">
      <c r="A350" s="412">
        <f t="shared" si="811"/>
        <v>344</v>
      </c>
      <c r="B350" s="57"/>
      <c r="C350" s="156"/>
      <c r="D350" s="156"/>
      <c r="E350" s="156"/>
      <c r="F350" s="156"/>
      <c r="G350" s="156"/>
      <c r="H350" s="156"/>
      <c r="I350" s="156"/>
      <c r="J350" s="156"/>
      <c r="K350" s="156"/>
      <c r="L350" s="156"/>
      <c r="M350" s="156"/>
      <c r="N350" s="156"/>
      <c r="O350" s="156"/>
      <c r="P350" s="156"/>
      <c r="Q350" s="156"/>
      <c r="R350" s="156"/>
      <c r="S350" s="156"/>
      <c r="T350" s="156"/>
      <c r="U350" s="156"/>
      <c r="V350" s="156"/>
      <c r="W350" s="156"/>
      <c r="X350" s="156"/>
      <c r="Y350" s="156"/>
      <c r="Z350" s="156"/>
      <c r="AA350" s="156"/>
      <c r="AB350" s="156"/>
      <c r="AC350" s="156"/>
      <c r="AD350" s="156"/>
      <c r="AE350" s="156"/>
      <c r="AF350" s="156"/>
      <c r="AG350" s="156"/>
      <c r="AH350" s="156"/>
      <c r="AI350" s="156"/>
      <c r="AJ350" s="156"/>
      <c r="AK350" s="156"/>
      <c r="AL350" s="156"/>
      <c r="AM350" s="156"/>
      <c r="AN350" s="156"/>
      <c r="AO350" s="156"/>
      <c r="AP350" s="156"/>
      <c r="AQ350" s="156"/>
      <c r="AR350" s="156"/>
      <c r="AS350" s="156"/>
      <c r="AT350" s="156"/>
      <c r="AU350" s="156"/>
      <c r="AV350" s="156"/>
      <c r="AW350" s="156"/>
      <c r="AX350" s="156"/>
      <c r="AY350" s="156"/>
      <c r="AZ350" s="156"/>
      <c r="BA350" s="156"/>
      <c r="BB350" s="156"/>
      <c r="BC350" s="156"/>
      <c r="BD350" s="156"/>
      <c r="BE350" s="156"/>
      <c r="BF350" s="156"/>
    </row>
    <row r="351" spans="1:58" ht="14.1" customHeight="1">
      <c r="A351" s="412">
        <f t="shared" si="811"/>
        <v>345</v>
      </c>
      <c r="B351" s="20" t="s">
        <v>227</v>
      </c>
      <c r="C351" s="174">
        <f>C339+C349</f>
        <v>646199.4</v>
      </c>
      <c r="D351" s="174">
        <f>D339+D349</f>
        <v>0</v>
      </c>
      <c r="E351" s="174">
        <f>E339+E349</f>
        <v>0</v>
      </c>
      <c r="F351" s="174">
        <f t="shared" ref="F351" si="833">F339+F349</f>
        <v>0</v>
      </c>
      <c r="G351" s="174">
        <f t="shared" ref="G351" si="834">G339+G349</f>
        <v>0</v>
      </c>
      <c r="H351" s="174">
        <f t="shared" ref="H351:BE351" si="835">H339+H349</f>
        <v>0</v>
      </c>
      <c r="I351" s="174">
        <f>I339+I349</f>
        <v>0</v>
      </c>
      <c r="J351" s="174">
        <f>J339+J349</f>
        <v>0</v>
      </c>
      <c r="K351" s="174">
        <f>K339+K349</f>
        <v>0</v>
      </c>
      <c r="L351" s="174">
        <f t="shared" ref="L351" si="836">L339+L349</f>
        <v>0</v>
      </c>
      <c r="M351" s="174">
        <f t="shared" ref="M351:AB351" si="837">M339+M349</f>
        <v>0</v>
      </c>
      <c r="N351" s="174">
        <f t="shared" si="837"/>
        <v>0</v>
      </c>
      <c r="O351" s="174">
        <f t="shared" si="837"/>
        <v>0</v>
      </c>
      <c r="P351" s="174">
        <f t="shared" si="837"/>
        <v>0</v>
      </c>
      <c r="Q351" s="174">
        <f t="shared" si="837"/>
        <v>0</v>
      </c>
      <c r="R351" s="174">
        <f t="shared" si="837"/>
        <v>0</v>
      </c>
      <c r="S351" s="174">
        <f t="shared" si="837"/>
        <v>0</v>
      </c>
      <c r="T351" s="174">
        <f t="shared" si="837"/>
        <v>0</v>
      </c>
      <c r="U351" s="174">
        <f t="shared" si="837"/>
        <v>0</v>
      </c>
      <c r="V351" s="174">
        <f t="shared" si="837"/>
        <v>0</v>
      </c>
      <c r="W351" s="174">
        <f t="shared" si="837"/>
        <v>0</v>
      </c>
      <c r="X351" s="174">
        <f t="shared" si="837"/>
        <v>0</v>
      </c>
      <c r="Y351" s="174">
        <f t="shared" si="837"/>
        <v>451.4</v>
      </c>
      <c r="Z351" s="174">
        <f t="shared" si="837"/>
        <v>0</v>
      </c>
      <c r="AA351" s="174">
        <f t="shared" si="837"/>
        <v>0</v>
      </c>
      <c r="AB351" s="174">
        <f t="shared" si="837"/>
        <v>0</v>
      </c>
      <c r="AC351" s="174">
        <f t="shared" ref="AC351" si="838">AC339+AC349</f>
        <v>0</v>
      </c>
      <c r="AD351" s="174">
        <f>AD339+AD349</f>
        <v>0</v>
      </c>
      <c r="AE351" s="174">
        <f>AE339+AE349</f>
        <v>528754</v>
      </c>
      <c r="AF351" s="174">
        <f t="shared" ref="AF351" si="839">AF339+AF349</f>
        <v>118606</v>
      </c>
      <c r="AG351" s="174">
        <f t="shared" ref="AG351" si="840">AG339+AG349</f>
        <v>0</v>
      </c>
      <c r="AH351" s="174">
        <f>AH339+AH349</f>
        <v>0</v>
      </c>
      <c r="AI351" s="174">
        <f>AI339+AI349</f>
        <v>-1612</v>
      </c>
      <c r="AJ351" s="174">
        <f t="shared" ref="AJ351" si="841">AJ339+AJ349</f>
        <v>0</v>
      </c>
      <c r="AK351" s="174">
        <f t="shared" ref="AK351:AU351" si="842">AK339+AK349</f>
        <v>0</v>
      </c>
      <c r="AL351" s="174">
        <f t="shared" si="842"/>
        <v>0</v>
      </c>
      <c r="AM351" s="174">
        <f t="shared" si="842"/>
        <v>0</v>
      </c>
      <c r="AN351" s="174">
        <f t="shared" si="842"/>
        <v>0</v>
      </c>
      <c r="AO351" s="174">
        <f t="shared" si="842"/>
        <v>0</v>
      </c>
      <c r="AP351" s="174">
        <f t="shared" si="842"/>
        <v>0</v>
      </c>
      <c r="AQ351" s="174">
        <f t="shared" si="842"/>
        <v>0</v>
      </c>
      <c r="AR351" s="174">
        <f t="shared" si="842"/>
        <v>0</v>
      </c>
      <c r="AS351" s="174">
        <f t="shared" si="842"/>
        <v>0</v>
      </c>
      <c r="AT351" s="174">
        <f t="shared" si="842"/>
        <v>0</v>
      </c>
      <c r="AU351" s="174">
        <f t="shared" si="842"/>
        <v>0</v>
      </c>
      <c r="AV351" s="174">
        <f>AV339+AV349</f>
        <v>0</v>
      </c>
      <c r="AW351" s="174">
        <f>AW339+AW349</f>
        <v>0</v>
      </c>
      <c r="AX351" s="174">
        <f t="shared" si="835"/>
        <v>0</v>
      </c>
      <c r="AY351" s="174">
        <f t="shared" si="835"/>
        <v>0</v>
      </c>
      <c r="AZ351" s="174">
        <f t="shared" si="835"/>
        <v>0</v>
      </c>
      <c r="BA351" s="174">
        <f t="shared" si="835"/>
        <v>0</v>
      </c>
      <c r="BB351" s="174">
        <f t="shared" si="835"/>
        <v>0</v>
      </c>
      <c r="BC351" s="174">
        <f t="shared" si="835"/>
        <v>0</v>
      </c>
      <c r="BD351" s="174">
        <f t="shared" si="835"/>
        <v>0</v>
      </c>
      <c r="BE351" s="174">
        <f t="shared" si="835"/>
        <v>0</v>
      </c>
      <c r="BF351" s="174">
        <f>BF339+BF349</f>
        <v>0</v>
      </c>
    </row>
    <row r="352" spans="1:58" ht="14.1" customHeight="1">
      <c r="A352" s="412">
        <f t="shared" si="811"/>
        <v>346</v>
      </c>
      <c r="B352" s="134"/>
      <c r="C352" s="169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</row>
    <row r="353" spans="1:58" ht="14.1" customHeight="1">
      <c r="A353" s="412">
        <f t="shared" si="811"/>
        <v>347</v>
      </c>
      <c r="B353" s="13" t="s">
        <v>228</v>
      </c>
      <c r="C353" s="61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</row>
    <row r="354" spans="1:58" ht="14.1" customHeight="1">
      <c r="A354" s="412">
        <f t="shared" si="811"/>
        <v>348</v>
      </c>
      <c r="B354" s="22" t="s">
        <v>229</v>
      </c>
      <c r="C354" s="38">
        <f t="shared" ref="C354:C363" si="843">SUM(D354:BF354)</f>
        <v>-4982.76</v>
      </c>
      <c r="D354" s="10">
        <v>0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10">
        <v>0</v>
      </c>
      <c r="N354" s="10">
        <v>0</v>
      </c>
      <c r="O354" s="10">
        <v>0</v>
      </c>
      <c r="P354" s="10">
        <v>0</v>
      </c>
      <c r="Q354" s="10">
        <v>0</v>
      </c>
      <c r="R354" s="10">
        <v>0</v>
      </c>
      <c r="S354" s="10">
        <v>0</v>
      </c>
      <c r="T354" s="10">
        <v>0</v>
      </c>
      <c r="U354" s="10">
        <v>0</v>
      </c>
      <c r="V354" s="10">
        <v>0</v>
      </c>
      <c r="W354" s="10">
        <v>0</v>
      </c>
      <c r="X354" s="10">
        <v>0</v>
      </c>
      <c r="Y354" s="10">
        <v>119.24</v>
      </c>
      <c r="Z354" s="10">
        <v>0</v>
      </c>
      <c r="AA354" s="10">
        <v>0</v>
      </c>
      <c r="AB354" s="10">
        <v>0</v>
      </c>
      <c r="AC354" s="10">
        <v>0</v>
      </c>
      <c r="AD354" s="10">
        <v>0</v>
      </c>
      <c r="AE354" s="10">
        <v>0</v>
      </c>
      <c r="AF354" s="10">
        <v>0</v>
      </c>
      <c r="AG354" s="10">
        <v>0</v>
      </c>
      <c r="AH354" s="10">
        <v>0</v>
      </c>
      <c r="AI354" s="10">
        <v>-5102</v>
      </c>
      <c r="AJ354" s="10">
        <v>0</v>
      </c>
      <c r="AK354" s="10">
        <v>0</v>
      </c>
      <c r="AL354" s="10">
        <v>0</v>
      </c>
      <c r="AM354" s="10">
        <v>0</v>
      </c>
      <c r="AN354" s="10">
        <v>0</v>
      </c>
      <c r="AO354" s="10">
        <v>0</v>
      </c>
      <c r="AP354" s="10">
        <v>0</v>
      </c>
      <c r="AQ354" s="10">
        <v>0</v>
      </c>
      <c r="AR354" s="10">
        <v>0</v>
      </c>
      <c r="AS354" s="10">
        <v>0</v>
      </c>
      <c r="AT354" s="10">
        <v>0</v>
      </c>
      <c r="AU354" s="10">
        <v>0</v>
      </c>
      <c r="AV354" s="10">
        <v>0</v>
      </c>
      <c r="AW354" s="10">
        <v>0</v>
      </c>
      <c r="AX354" s="10">
        <v>0</v>
      </c>
      <c r="AY354" s="10">
        <v>0</v>
      </c>
      <c r="AZ354" s="10">
        <v>0</v>
      </c>
      <c r="BA354" s="10">
        <v>0</v>
      </c>
      <c r="BB354" s="10">
        <v>0</v>
      </c>
      <c r="BC354" s="10">
        <v>0</v>
      </c>
      <c r="BD354" s="10">
        <v>0</v>
      </c>
      <c r="BE354" s="10">
        <v>0</v>
      </c>
      <c r="BF354" s="10">
        <v>0</v>
      </c>
    </row>
    <row r="355" spans="1:58" ht="14.1" customHeight="1">
      <c r="A355" s="412">
        <f t="shared" si="811"/>
        <v>349</v>
      </c>
      <c r="B355" s="22" t="s">
        <v>230</v>
      </c>
      <c r="C355" s="38">
        <f t="shared" si="843"/>
        <v>0</v>
      </c>
      <c r="D355" s="10">
        <v>0</v>
      </c>
      <c r="E355" s="10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0</v>
      </c>
      <c r="T355" s="10">
        <v>0</v>
      </c>
      <c r="U355" s="10">
        <v>0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0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v>0</v>
      </c>
      <c r="AU355" s="10">
        <v>0</v>
      </c>
      <c r="AV355" s="10">
        <v>0</v>
      </c>
      <c r="AW355" s="10">
        <v>0</v>
      </c>
      <c r="AX355" s="10">
        <v>0</v>
      </c>
      <c r="AY355" s="10">
        <v>0</v>
      </c>
      <c r="AZ355" s="10">
        <v>0</v>
      </c>
      <c r="BA355" s="10">
        <v>0</v>
      </c>
      <c r="BB355" s="10">
        <v>0</v>
      </c>
      <c r="BC355" s="10">
        <v>0</v>
      </c>
      <c r="BD355" s="10">
        <v>0</v>
      </c>
      <c r="BE355" s="10">
        <v>0</v>
      </c>
      <c r="BF355" s="10">
        <v>0</v>
      </c>
    </row>
    <row r="356" spans="1:58" ht="14.1" customHeight="1">
      <c r="A356" s="412">
        <f t="shared" si="811"/>
        <v>350</v>
      </c>
      <c r="B356" s="22" t="s">
        <v>231</v>
      </c>
      <c r="C356" s="38">
        <f t="shared" si="843"/>
        <v>0</v>
      </c>
      <c r="D356" s="10">
        <v>0</v>
      </c>
      <c r="E356" s="10">
        <v>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0</v>
      </c>
      <c r="M356" s="10">
        <v>0</v>
      </c>
      <c r="N356" s="10">
        <v>0</v>
      </c>
      <c r="O356" s="10">
        <v>0</v>
      </c>
      <c r="P356" s="10">
        <v>0</v>
      </c>
      <c r="Q356" s="10">
        <v>0</v>
      </c>
      <c r="R356" s="10">
        <v>0</v>
      </c>
      <c r="S356" s="10">
        <v>0</v>
      </c>
      <c r="T356" s="10">
        <v>0</v>
      </c>
      <c r="U356" s="10">
        <v>0</v>
      </c>
      <c r="V356" s="10">
        <v>0</v>
      </c>
      <c r="W356" s="10">
        <v>0</v>
      </c>
      <c r="X356" s="10">
        <v>0</v>
      </c>
      <c r="Y356" s="10">
        <v>0</v>
      </c>
      <c r="Z356" s="10">
        <v>0</v>
      </c>
      <c r="AA356" s="10">
        <v>0</v>
      </c>
      <c r="AB356" s="10">
        <v>0</v>
      </c>
      <c r="AC356" s="10">
        <v>0</v>
      </c>
      <c r="AD356" s="10">
        <v>0</v>
      </c>
      <c r="AE356" s="10">
        <v>0</v>
      </c>
      <c r="AF356" s="10">
        <v>0</v>
      </c>
      <c r="AG356" s="10">
        <v>0</v>
      </c>
      <c r="AH356" s="10">
        <v>0</v>
      </c>
      <c r="AI356" s="10">
        <v>0</v>
      </c>
      <c r="AJ356" s="10">
        <v>0</v>
      </c>
      <c r="AK356" s="10">
        <v>0</v>
      </c>
      <c r="AL356" s="10">
        <v>0</v>
      </c>
      <c r="AM356" s="10">
        <v>0</v>
      </c>
      <c r="AN356" s="10">
        <v>0</v>
      </c>
      <c r="AO356" s="10">
        <v>0</v>
      </c>
      <c r="AP356" s="10">
        <v>0</v>
      </c>
      <c r="AQ356" s="10">
        <v>0</v>
      </c>
      <c r="AR356" s="10">
        <v>0</v>
      </c>
      <c r="AS356" s="10">
        <v>0</v>
      </c>
      <c r="AT356" s="10">
        <v>0</v>
      </c>
      <c r="AU356" s="10">
        <v>0</v>
      </c>
      <c r="AV356" s="10">
        <v>0</v>
      </c>
      <c r="AW356" s="10">
        <v>0</v>
      </c>
      <c r="AX356" s="10">
        <v>0</v>
      </c>
      <c r="AY356" s="10">
        <v>0</v>
      </c>
      <c r="AZ356" s="10">
        <v>0</v>
      </c>
      <c r="BA356" s="10">
        <v>0</v>
      </c>
      <c r="BB356" s="10">
        <v>0</v>
      </c>
      <c r="BC356" s="10">
        <v>0</v>
      </c>
      <c r="BD356" s="10">
        <v>0</v>
      </c>
      <c r="BE356" s="10">
        <v>0</v>
      </c>
      <c r="BF356" s="10">
        <v>0</v>
      </c>
    </row>
    <row r="357" spans="1:58" ht="14.1" customHeight="1">
      <c r="A357" s="412">
        <f t="shared" si="811"/>
        <v>351</v>
      </c>
      <c r="B357" s="22" t="s">
        <v>232</v>
      </c>
      <c r="C357" s="38">
        <f t="shared" si="843"/>
        <v>48145.55</v>
      </c>
      <c r="D357" s="10">
        <v>0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>
        <v>0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0</v>
      </c>
      <c r="T357" s="10">
        <v>0</v>
      </c>
      <c r="U357" s="10">
        <v>0</v>
      </c>
      <c r="V357" s="10">
        <v>0</v>
      </c>
      <c r="W357" s="10">
        <v>0</v>
      </c>
      <c r="X357" s="10">
        <v>0</v>
      </c>
      <c r="Y357" s="10">
        <v>54535.55</v>
      </c>
      <c r="Z357" s="10">
        <v>0</v>
      </c>
      <c r="AA357" s="10">
        <v>0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-6390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0</v>
      </c>
      <c r="AT357" s="10">
        <v>0</v>
      </c>
      <c r="AU357" s="10">
        <v>0</v>
      </c>
      <c r="AV357" s="10">
        <v>0</v>
      </c>
      <c r="AW357" s="10">
        <v>0</v>
      </c>
      <c r="AX357" s="10">
        <v>0</v>
      </c>
      <c r="AY357" s="10">
        <v>0</v>
      </c>
      <c r="AZ357" s="10">
        <v>0</v>
      </c>
      <c r="BA357" s="10">
        <v>0</v>
      </c>
      <c r="BB357" s="10">
        <v>0</v>
      </c>
      <c r="BC357" s="10">
        <v>0</v>
      </c>
      <c r="BD357" s="10">
        <v>0</v>
      </c>
      <c r="BE357" s="10">
        <v>0</v>
      </c>
      <c r="BF357" s="10">
        <v>0</v>
      </c>
    </row>
    <row r="358" spans="1:58" ht="14.1" customHeight="1">
      <c r="A358" s="412">
        <f t="shared" si="811"/>
        <v>352</v>
      </c>
      <c r="B358" s="22" t="s">
        <v>233</v>
      </c>
      <c r="C358" s="38">
        <f t="shared" si="843"/>
        <v>-391.64</v>
      </c>
      <c r="D358" s="10">
        <v>0</v>
      </c>
      <c r="E358" s="10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>
        <v>0</v>
      </c>
      <c r="M358" s="10">
        <v>0</v>
      </c>
      <c r="N358" s="10">
        <v>0</v>
      </c>
      <c r="O358" s="10">
        <v>0</v>
      </c>
      <c r="P358" s="10">
        <v>0</v>
      </c>
      <c r="Q358" s="10">
        <v>0</v>
      </c>
      <c r="R358" s="10">
        <v>0</v>
      </c>
      <c r="S358" s="10">
        <v>0</v>
      </c>
      <c r="T358" s="10">
        <v>0</v>
      </c>
      <c r="U358" s="10">
        <v>0</v>
      </c>
      <c r="V358" s="10">
        <v>0</v>
      </c>
      <c r="W358" s="10">
        <v>0</v>
      </c>
      <c r="X358" s="10">
        <v>0</v>
      </c>
      <c r="Y358" s="10">
        <v>348.36</v>
      </c>
      <c r="Z358" s="10">
        <v>0</v>
      </c>
      <c r="AA358" s="10">
        <v>0</v>
      </c>
      <c r="AB358" s="10">
        <v>0</v>
      </c>
      <c r="AC358" s="10">
        <v>0</v>
      </c>
      <c r="AD358" s="10">
        <v>0</v>
      </c>
      <c r="AE358" s="10">
        <v>0</v>
      </c>
      <c r="AF358" s="10">
        <v>0</v>
      </c>
      <c r="AG358" s="10">
        <v>0</v>
      </c>
      <c r="AH358" s="10">
        <v>0</v>
      </c>
      <c r="AI358" s="10">
        <v>-740</v>
      </c>
      <c r="AJ358" s="10">
        <v>0</v>
      </c>
      <c r="AK358" s="10">
        <v>0</v>
      </c>
      <c r="AL358" s="10">
        <v>0</v>
      </c>
      <c r="AM358" s="10">
        <v>0</v>
      </c>
      <c r="AN358" s="10">
        <v>0</v>
      </c>
      <c r="AO358" s="10">
        <v>0</v>
      </c>
      <c r="AP358" s="10">
        <v>0</v>
      </c>
      <c r="AQ358" s="10">
        <v>0</v>
      </c>
      <c r="AR358" s="10">
        <v>0</v>
      </c>
      <c r="AS358" s="10">
        <v>0</v>
      </c>
      <c r="AT358" s="10">
        <v>0</v>
      </c>
      <c r="AU358" s="10">
        <v>0</v>
      </c>
      <c r="AV358" s="10">
        <v>0</v>
      </c>
      <c r="AW358" s="10">
        <v>0</v>
      </c>
      <c r="AX358" s="10">
        <v>0</v>
      </c>
      <c r="AY358" s="10">
        <v>0</v>
      </c>
      <c r="AZ358" s="10">
        <v>0</v>
      </c>
      <c r="BA358" s="10">
        <v>0</v>
      </c>
      <c r="BB358" s="10">
        <v>0</v>
      </c>
      <c r="BC358" s="10">
        <v>0</v>
      </c>
      <c r="BD358" s="10">
        <v>0</v>
      </c>
      <c r="BE358" s="10">
        <v>0</v>
      </c>
      <c r="BF358" s="10">
        <v>0</v>
      </c>
    </row>
    <row r="359" spans="1:58" ht="14.1" customHeight="1">
      <c r="A359" s="412">
        <f t="shared" si="811"/>
        <v>353</v>
      </c>
      <c r="B359" s="22" t="s">
        <v>234</v>
      </c>
      <c r="C359" s="38">
        <f t="shared" si="843"/>
        <v>-276.27999999999997</v>
      </c>
      <c r="D359" s="10">
        <v>0</v>
      </c>
      <c r="E359" s="10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0</v>
      </c>
      <c r="T359" s="10">
        <v>0</v>
      </c>
      <c r="U359" s="10">
        <v>0</v>
      </c>
      <c r="V359" s="10">
        <v>0</v>
      </c>
      <c r="W359" s="10">
        <v>0</v>
      </c>
      <c r="X359" s="10">
        <v>0</v>
      </c>
      <c r="Y359" s="10">
        <v>-201.28</v>
      </c>
      <c r="Z359" s="10">
        <v>0</v>
      </c>
      <c r="AA359" s="10">
        <v>0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-75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0</v>
      </c>
      <c r="AT359" s="10">
        <v>0</v>
      </c>
      <c r="AU359" s="10">
        <v>0</v>
      </c>
      <c r="AV359" s="10">
        <v>0</v>
      </c>
      <c r="AW359" s="10">
        <v>0</v>
      </c>
      <c r="AX359" s="10">
        <v>0</v>
      </c>
      <c r="AY359" s="10">
        <v>0</v>
      </c>
      <c r="AZ359" s="10">
        <v>0</v>
      </c>
      <c r="BA359" s="10">
        <v>0</v>
      </c>
      <c r="BB359" s="10">
        <v>0</v>
      </c>
      <c r="BC359" s="10">
        <v>0</v>
      </c>
      <c r="BD359" s="10">
        <v>0</v>
      </c>
      <c r="BE359" s="10">
        <v>0</v>
      </c>
      <c r="BF359" s="10">
        <v>0</v>
      </c>
    </row>
    <row r="360" spans="1:58" ht="14.1" customHeight="1">
      <c r="A360" s="412">
        <f t="shared" si="811"/>
        <v>354</v>
      </c>
      <c r="B360" s="22" t="s">
        <v>235</v>
      </c>
      <c r="C360" s="38">
        <f t="shared" si="843"/>
        <v>-15430.34</v>
      </c>
      <c r="D360" s="10">
        <v>0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10">
        <v>0</v>
      </c>
      <c r="N360" s="10">
        <v>0</v>
      </c>
      <c r="O360" s="10">
        <v>0</v>
      </c>
      <c r="P360" s="10">
        <v>0</v>
      </c>
      <c r="Q360" s="10">
        <v>0</v>
      </c>
      <c r="R360" s="10">
        <v>0</v>
      </c>
      <c r="S360" s="10">
        <v>0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0">
        <v>1937.66</v>
      </c>
      <c r="Z360" s="10">
        <v>0</v>
      </c>
      <c r="AA360" s="10">
        <v>0</v>
      </c>
      <c r="AB360" s="10">
        <v>0</v>
      </c>
      <c r="AC360" s="10">
        <v>0</v>
      </c>
      <c r="AD360" s="10">
        <v>0</v>
      </c>
      <c r="AE360" s="10">
        <v>0</v>
      </c>
      <c r="AF360" s="10">
        <v>0</v>
      </c>
      <c r="AG360" s="10">
        <v>0</v>
      </c>
      <c r="AH360" s="10">
        <v>0</v>
      </c>
      <c r="AI360" s="10">
        <v>-17368</v>
      </c>
      <c r="AJ360" s="10">
        <v>0</v>
      </c>
      <c r="AK360" s="10">
        <v>0</v>
      </c>
      <c r="AL360" s="10">
        <v>0</v>
      </c>
      <c r="AM360" s="10">
        <v>0</v>
      </c>
      <c r="AN360" s="10">
        <v>0</v>
      </c>
      <c r="AO360" s="10">
        <v>0</v>
      </c>
      <c r="AP360" s="10">
        <v>0</v>
      </c>
      <c r="AQ360" s="10">
        <v>0</v>
      </c>
      <c r="AR360" s="10">
        <v>0</v>
      </c>
      <c r="AS360" s="10">
        <v>0</v>
      </c>
      <c r="AT360" s="10">
        <v>0</v>
      </c>
      <c r="AU360" s="10">
        <v>0</v>
      </c>
      <c r="AV360" s="10">
        <v>0</v>
      </c>
      <c r="AW360" s="10">
        <v>0</v>
      </c>
      <c r="AX360" s="10">
        <v>0</v>
      </c>
      <c r="AY360" s="10">
        <v>0</v>
      </c>
      <c r="AZ360" s="10">
        <v>0</v>
      </c>
      <c r="BA360" s="10">
        <v>0</v>
      </c>
      <c r="BB360" s="10">
        <v>0</v>
      </c>
      <c r="BC360" s="10">
        <v>0</v>
      </c>
      <c r="BD360" s="10">
        <v>0</v>
      </c>
      <c r="BE360" s="10">
        <v>0</v>
      </c>
      <c r="BF360" s="10">
        <v>0</v>
      </c>
    </row>
    <row r="361" spans="1:58" ht="14.1" customHeight="1">
      <c r="A361" s="412">
        <f t="shared" si="811"/>
        <v>355</v>
      </c>
      <c r="B361" s="22" t="s">
        <v>236</v>
      </c>
      <c r="C361" s="38">
        <f t="shared" si="843"/>
        <v>-5908.7</v>
      </c>
      <c r="D361" s="10">
        <v>0</v>
      </c>
      <c r="E361" s="10">
        <v>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0</v>
      </c>
      <c r="T361" s="10">
        <v>0</v>
      </c>
      <c r="U361" s="10">
        <v>0</v>
      </c>
      <c r="V361" s="10">
        <v>0</v>
      </c>
      <c r="W361" s="10">
        <v>0</v>
      </c>
      <c r="X361" s="10">
        <v>0</v>
      </c>
      <c r="Y361" s="10">
        <v>-2015.7</v>
      </c>
      <c r="Z361" s="10">
        <v>0</v>
      </c>
      <c r="AA361" s="10">
        <v>0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-3893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0</v>
      </c>
      <c r="AT361" s="10">
        <v>0</v>
      </c>
      <c r="AU361" s="10">
        <v>0</v>
      </c>
      <c r="AV361" s="10">
        <v>0</v>
      </c>
      <c r="AW361" s="10">
        <v>0</v>
      </c>
      <c r="AX361" s="10">
        <v>0</v>
      </c>
      <c r="AY361" s="10">
        <v>0</v>
      </c>
      <c r="AZ361" s="10">
        <v>0</v>
      </c>
      <c r="BA361" s="10">
        <v>0</v>
      </c>
      <c r="BB361" s="10">
        <v>0</v>
      </c>
      <c r="BC361" s="10">
        <v>0</v>
      </c>
      <c r="BD361" s="10">
        <v>0</v>
      </c>
      <c r="BE361" s="10">
        <v>0</v>
      </c>
      <c r="BF361" s="10">
        <v>0</v>
      </c>
    </row>
    <row r="362" spans="1:58" s="21" customFormat="1" ht="14.1" customHeight="1">
      <c r="A362" s="412">
        <f t="shared" si="811"/>
        <v>356</v>
      </c>
      <c r="B362" s="22" t="s">
        <v>237</v>
      </c>
      <c r="C362" s="38">
        <f t="shared" si="843"/>
        <v>-87212.489999999991</v>
      </c>
      <c r="D362" s="10">
        <v>0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  <c r="M362" s="10">
        <v>0</v>
      </c>
      <c r="N362" s="10">
        <v>0</v>
      </c>
      <c r="O362" s="10">
        <v>0</v>
      </c>
      <c r="P362" s="10">
        <v>0</v>
      </c>
      <c r="Q362" s="10">
        <v>0</v>
      </c>
      <c r="R362" s="10">
        <v>0</v>
      </c>
      <c r="S362" s="10">
        <v>0</v>
      </c>
      <c r="T362" s="10">
        <v>0</v>
      </c>
      <c r="U362" s="10">
        <v>0</v>
      </c>
      <c r="V362" s="10">
        <v>0</v>
      </c>
      <c r="W362" s="10">
        <v>0</v>
      </c>
      <c r="X362" s="10">
        <v>0</v>
      </c>
      <c r="Y362" s="10">
        <f>-8903.76+-15451.73</f>
        <v>-24355.489999999998</v>
      </c>
      <c r="Z362" s="10">
        <v>0</v>
      </c>
      <c r="AA362" s="10">
        <v>0</v>
      </c>
      <c r="AB362" s="10">
        <v>0</v>
      </c>
      <c r="AC362" s="10">
        <v>0</v>
      </c>
      <c r="AD362" s="10">
        <v>0</v>
      </c>
      <c r="AE362" s="10">
        <v>0</v>
      </c>
      <c r="AF362" s="10">
        <v>0</v>
      </c>
      <c r="AG362" s="10">
        <v>0</v>
      </c>
      <c r="AH362" s="10">
        <v>0</v>
      </c>
      <c r="AI362" s="10">
        <v>-62857</v>
      </c>
      <c r="AJ362" s="10">
        <v>0</v>
      </c>
      <c r="AK362" s="10">
        <v>0</v>
      </c>
      <c r="AL362" s="10">
        <v>0</v>
      </c>
      <c r="AM362" s="10">
        <v>0</v>
      </c>
      <c r="AN362" s="10">
        <v>0</v>
      </c>
      <c r="AO362" s="10">
        <v>0</v>
      </c>
      <c r="AP362" s="10">
        <v>0</v>
      </c>
      <c r="AQ362" s="10">
        <v>0</v>
      </c>
      <c r="AR362" s="10">
        <v>0</v>
      </c>
      <c r="AS362" s="10">
        <v>0</v>
      </c>
      <c r="AT362" s="10">
        <v>0</v>
      </c>
      <c r="AU362" s="10">
        <v>0</v>
      </c>
      <c r="AV362" s="10">
        <v>0</v>
      </c>
      <c r="AW362" s="10">
        <v>0</v>
      </c>
      <c r="AX362" s="10">
        <v>0</v>
      </c>
      <c r="AY362" s="10">
        <v>0</v>
      </c>
      <c r="AZ362" s="10">
        <v>0</v>
      </c>
      <c r="BA362" s="10">
        <v>0</v>
      </c>
      <c r="BB362" s="10">
        <v>0</v>
      </c>
      <c r="BC362" s="10">
        <v>0</v>
      </c>
      <c r="BD362" s="10">
        <v>0</v>
      </c>
      <c r="BE362" s="10">
        <v>0</v>
      </c>
      <c r="BF362" s="10">
        <v>0</v>
      </c>
    </row>
    <row r="363" spans="1:58" s="21" customFormat="1" ht="14.1" customHeight="1">
      <c r="A363" s="412">
        <f t="shared" si="811"/>
        <v>357</v>
      </c>
      <c r="B363" s="56" t="s">
        <v>238</v>
      </c>
      <c r="C363" s="38">
        <f t="shared" si="843"/>
        <v>0</v>
      </c>
      <c r="D363" s="43">
        <v>0</v>
      </c>
      <c r="E363" s="43">
        <v>0</v>
      </c>
      <c r="F363" s="43">
        <v>0</v>
      </c>
      <c r="G363" s="43">
        <v>0</v>
      </c>
      <c r="H363" s="43">
        <v>0</v>
      </c>
      <c r="I363" s="43">
        <v>0</v>
      </c>
      <c r="J363" s="43">
        <v>0</v>
      </c>
      <c r="K363" s="43">
        <v>0</v>
      </c>
      <c r="L363" s="43">
        <v>0</v>
      </c>
      <c r="M363" s="43">
        <v>0</v>
      </c>
      <c r="N363" s="43">
        <v>0</v>
      </c>
      <c r="O363" s="43">
        <v>0</v>
      </c>
      <c r="P363" s="43">
        <v>0</v>
      </c>
      <c r="Q363" s="43">
        <v>0</v>
      </c>
      <c r="R363" s="43">
        <v>0</v>
      </c>
      <c r="S363" s="43">
        <v>0</v>
      </c>
      <c r="T363" s="43">
        <v>0</v>
      </c>
      <c r="U363" s="43">
        <v>0</v>
      </c>
      <c r="V363" s="43">
        <v>0</v>
      </c>
      <c r="W363" s="43">
        <v>0</v>
      </c>
      <c r="X363" s="43">
        <v>0</v>
      </c>
      <c r="Y363" s="43">
        <v>0</v>
      </c>
      <c r="Z363" s="43">
        <v>0</v>
      </c>
      <c r="AA363" s="43">
        <v>0</v>
      </c>
      <c r="AB363" s="43">
        <v>0</v>
      </c>
      <c r="AC363" s="43">
        <v>0</v>
      </c>
      <c r="AD363" s="43">
        <v>0</v>
      </c>
      <c r="AE363" s="43">
        <v>0</v>
      </c>
      <c r="AF363" s="43">
        <v>0</v>
      </c>
      <c r="AG363" s="43">
        <v>0</v>
      </c>
      <c r="AH363" s="43">
        <v>0</v>
      </c>
      <c r="AI363" s="43">
        <v>0</v>
      </c>
      <c r="AJ363" s="43">
        <v>0</v>
      </c>
      <c r="AK363" s="43">
        <v>0</v>
      </c>
      <c r="AL363" s="43">
        <v>0</v>
      </c>
      <c r="AM363" s="43">
        <v>0</v>
      </c>
      <c r="AN363" s="43">
        <v>0</v>
      </c>
      <c r="AO363" s="43">
        <v>0</v>
      </c>
      <c r="AP363" s="43">
        <v>0</v>
      </c>
      <c r="AQ363" s="43">
        <v>0</v>
      </c>
      <c r="AR363" s="43">
        <v>0</v>
      </c>
      <c r="AS363" s="43">
        <v>0</v>
      </c>
      <c r="AT363" s="43">
        <v>0</v>
      </c>
      <c r="AU363" s="43">
        <v>0</v>
      </c>
      <c r="AV363" s="43">
        <v>0</v>
      </c>
      <c r="AW363" s="43">
        <v>0</v>
      </c>
      <c r="AX363" s="43">
        <v>0</v>
      </c>
      <c r="AY363" s="43">
        <v>0</v>
      </c>
      <c r="AZ363" s="43">
        <v>0</v>
      </c>
      <c r="BA363" s="43">
        <v>0</v>
      </c>
      <c r="BB363" s="43">
        <v>0</v>
      </c>
      <c r="BC363" s="43">
        <v>0</v>
      </c>
      <c r="BD363" s="43">
        <v>0</v>
      </c>
      <c r="BE363" s="43">
        <v>0</v>
      </c>
      <c r="BF363" s="43">
        <v>0</v>
      </c>
    </row>
    <row r="364" spans="1:58" ht="14.1" customHeight="1">
      <c r="A364" s="412">
        <f t="shared" si="811"/>
        <v>358</v>
      </c>
      <c r="B364" s="20" t="s">
        <v>510</v>
      </c>
      <c r="C364" s="86">
        <f>SUM(C354:C363)</f>
        <v>-66056.659999999989</v>
      </c>
      <c r="D364" s="86">
        <f>SUM(D354:D363)</f>
        <v>0</v>
      </c>
      <c r="E364" s="86">
        <f>SUM(E354:E363)</f>
        <v>0</v>
      </c>
      <c r="F364" s="86">
        <f t="shared" ref="F364" si="844">SUM(F354:F363)</f>
        <v>0</v>
      </c>
      <c r="G364" s="86">
        <f t="shared" ref="G364" si="845">SUM(G354:G363)</f>
        <v>0</v>
      </c>
      <c r="H364" s="86">
        <f t="shared" ref="H364:BE364" si="846">SUM(H354:H363)</f>
        <v>0</v>
      </c>
      <c r="I364" s="86">
        <f>SUM(I354:I363)</f>
        <v>0</v>
      </c>
      <c r="J364" s="86">
        <f>SUM(J354:J363)</f>
        <v>0</v>
      </c>
      <c r="K364" s="86">
        <f>SUM(K354:K363)</f>
        <v>0</v>
      </c>
      <c r="L364" s="86">
        <f t="shared" ref="L364" si="847">SUM(L354:L363)</f>
        <v>0</v>
      </c>
      <c r="M364" s="86">
        <f t="shared" ref="M364:AB364" si="848">SUM(M354:M363)</f>
        <v>0</v>
      </c>
      <c r="N364" s="86">
        <f t="shared" si="848"/>
        <v>0</v>
      </c>
      <c r="O364" s="86">
        <f t="shared" si="848"/>
        <v>0</v>
      </c>
      <c r="P364" s="86">
        <f t="shared" si="848"/>
        <v>0</v>
      </c>
      <c r="Q364" s="86">
        <f t="shared" si="848"/>
        <v>0</v>
      </c>
      <c r="R364" s="86">
        <f t="shared" si="848"/>
        <v>0</v>
      </c>
      <c r="S364" s="86">
        <f t="shared" si="848"/>
        <v>0</v>
      </c>
      <c r="T364" s="86">
        <f t="shared" si="848"/>
        <v>0</v>
      </c>
      <c r="U364" s="86">
        <f t="shared" si="848"/>
        <v>0</v>
      </c>
      <c r="V364" s="86">
        <f t="shared" si="848"/>
        <v>0</v>
      </c>
      <c r="W364" s="86">
        <f t="shared" si="848"/>
        <v>0</v>
      </c>
      <c r="X364" s="86">
        <f t="shared" si="848"/>
        <v>0</v>
      </c>
      <c r="Y364" s="86">
        <f t="shared" si="848"/>
        <v>30368.340000000011</v>
      </c>
      <c r="Z364" s="86">
        <f t="shared" si="848"/>
        <v>0</v>
      </c>
      <c r="AA364" s="86">
        <f t="shared" si="848"/>
        <v>0</v>
      </c>
      <c r="AB364" s="86">
        <f t="shared" si="848"/>
        <v>0</v>
      </c>
      <c r="AC364" s="86">
        <f t="shared" ref="AC364" si="849">SUM(AC354:AC363)</f>
        <v>0</v>
      </c>
      <c r="AD364" s="86">
        <f>SUM(AD354:AD363)</f>
        <v>0</v>
      </c>
      <c r="AE364" s="86">
        <f>SUM(AE354:AE363)</f>
        <v>0</v>
      </c>
      <c r="AF364" s="86">
        <f t="shared" ref="AF364" si="850">SUM(AF354:AF363)</f>
        <v>0</v>
      </c>
      <c r="AG364" s="86">
        <f t="shared" ref="AG364" si="851">SUM(AG354:AG363)</f>
        <v>0</v>
      </c>
      <c r="AH364" s="86">
        <f>SUM(AH354:AH363)</f>
        <v>0</v>
      </c>
      <c r="AI364" s="86">
        <f>SUM(AI354:AI363)</f>
        <v>-96425</v>
      </c>
      <c r="AJ364" s="86">
        <f t="shared" ref="AJ364" si="852">SUM(AJ354:AJ363)</f>
        <v>0</v>
      </c>
      <c r="AK364" s="86">
        <f t="shared" ref="AK364:AU364" si="853">SUM(AK354:AK363)</f>
        <v>0</v>
      </c>
      <c r="AL364" s="86">
        <f t="shared" si="853"/>
        <v>0</v>
      </c>
      <c r="AM364" s="86">
        <f t="shared" si="853"/>
        <v>0</v>
      </c>
      <c r="AN364" s="86">
        <f t="shared" si="853"/>
        <v>0</v>
      </c>
      <c r="AO364" s="86">
        <f t="shared" si="853"/>
        <v>0</v>
      </c>
      <c r="AP364" s="86">
        <f t="shared" si="853"/>
        <v>0</v>
      </c>
      <c r="AQ364" s="86">
        <f t="shared" si="853"/>
        <v>0</v>
      </c>
      <c r="AR364" s="86">
        <f t="shared" si="853"/>
        <v>0</v>
      </c>
      <c r="AS364" s="86">
        <f t="shared" si="853"/>
        <v>0</v>
      </c>
      <c r="AT364" s="86">
        <f t="shared" si="853"/>
        <v>0</v>
      </c>
      <c r="AU364" s="86">
        <f t="shared" si="853"/>
        <v>0</v>
      </c>
      <c r="AV364" s="86">
        <f>SUM(AV354:AV363)</f>
        <v>0</v>
      </c>
      <c r="AW364" s="86">
        <f>SUM(AW354:AW363)</f>
        <v>0</v>
      </c>
      <c r="AX364" s="86">
        <f t="shared" si="846"/>
        <v>0</v>
      </c>
      <c r="AY364" s="86">
        <f t="shared" si="846"/>
        <v>0</v>
      </c>
      <c r="AZ364" s="86">
        <f t="shared" si="846"/>
        <v>0</v>
      </c>
      <c r="BA364" s="86">
        <f t="shared" si="846"/>
        <v>0</v>
      </c>
      <c r="BB364" s="86">
        <f t="shared" si="846"/>
        <v>0</v>
      </c>
      <c r="BC364" s="86">
        <f t="shared" si="846"/>
        <v>0</v>
      </c>
      <c r="BD364" s="86">
        <f t="shared" si="846"/>
        <v>0</v>
      </c>
      <c r="BE364" s="86">
        <f t="shared" si="846"/>
        <v>0</v>
      </c>
      <c r="BF364" s="86">
        <f>SUM(BF354:BF363)</f>
        <v>0</v>
      </c>
    </row>
    <row r="365" spans="1:58" ht="14.1" customHeight="1">
      <c r="A365" s="412">
        <f t="shared" si="811"/>
        <v>359</v>
      </c>
      <c r="B365" s="169"/>
      <c r="C365" s="169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</row>
    <row r="366" spans="1:58" ht="14.1" customHeight="1">
      <c r="A366" s="412">
        <f t="shared" si="811"/>
        <v>360</v>
      </c>
      <c r="B366" s="22" t="s">
        <v>239</v>
      </c>
      <c r="C366" s="38">
        <f t="shared" ref="C366:C376" si="854">SUM(D366:BF366)</f>
        <v>3.6300000000000008</v>
      </c>
      <c r="D366" s="10">
        <v>0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10">
        <v>0</v>
      </c>
      <c r="N366" s="10">
        <v>0</v>
      </c>
      <c r="O366" s="10">
        <v>0</v>
      </c>
      <c r="P366" s="10">
        <v>0</v>
      </c>
      <c r="Q366" s="10">
        <v>0</v>
      </c>
      <c r="R366" s="10">
        <v>0</v>
      </c>
      <c r="S366" s="10">
        <v>0</v>
      </c>
      <c r="T366" s="10">
        <v>0</v>
      </c>
      <c r="U366" s="10">
        <v>0</v>
      </c>
      <c r="V366" s="10">
        <v>0</v>
      </c>
      <c r="W366" s="10">
        <v>0</v>
      </c>
      <c r="X366" s="10">
        <v>0</v>
      </c>
      <c r="Y366" s="10">
        <v>13.63</v>
      </c>
      <c r="Z366" s="10">
        <v>0</v>
      </c>
      <c r="AA366" s="10">
        <v>0</v>
      </c>
      <c r="AB366" s="10">
        <v>0</v>
      </c>
      <c r="AC366" s="10">
        <v>0</v>
      </c>
      <c r="AD366" s="10">
        <v>0</v>
      </c>
      <c r="AE366" s="10">
        <v>0</v>
      </c>
      <c r="AF366" s="10">
        <v>0</v>
      </c>
      <c r="AG366" s="10">
        <v>0</v>
      </c>
      <c r="AH366" s="10">
        <v>0</v>
      </c>
      <c r="AI366" s="10">
        <v>-10</v>
      </c>
      <c r="AJ366" s="10">
        <v>0</v>
      </c>
      <c r="AK366" s="10">
        <v>0</v>
      </c>
      <c r="AL366" s="10">
        <v>0</v>
      </c>
      <c r="AM366" s="10">
        <v>0</v>
      </c>
      <c r="AN366" s="10">
        <v>0</v>
      </c>
      <c r="AO366" s="10">
        <v>0</v>
      </c>
      <c r="AP366" s="10">
        <v>0</v>
      </c>
      <c r="AQ366" s="10">
        <v>0</v>
      </c>
      <c r="AR366" s="10">
        <v>0</v>
      </c>
      <c r="AS366" s="10">
        <v>0</v>
      </c>
      <c r="AT366" s="10">
        <v>0</v>
      </c>
      <c r="AU366" s="10">
        <v>0</v>
      </c>
      <c r="AV366" s="10">
        <v>0</v>
      </c>
      <c r="AW366" s="10">
        <v>0</v>
      </c>
      <c r="AX366" s="10">
        <v>0</v>
      </c>
      <c r="AY366" s="10">
        <v>0</v>
      </c>
      <c r="AZ366" s="10">
        <v>0</v>
      </c>
      <c r="BA366" s="10">
        <v>0</v>
      </c>
      <c r="BB366" s="10">
        <v>0</v>
      </c>
      <c r="BC366" s="10">
        <v>0</v>
      </c>
      <c r="BD366" s="10">
        <v>0</v>
      </c>
      <c r="BE366" s="10">
        <v>0</v>
      </c>
      <c r="BF366" s="10">
        <v>0</v>
      </c>
    </row>
    <row r="367" spans="1:58" ht="14.1" customHeight="1">
      <c r="A367" s="412">
        <f t="shared" si="811"/>
        <v>361</v>
      </c>
      <c r="B367" s="22" t="s">
        <v>240</v>
      </c>
      <c r="C367" s="38">
        <f t="shared" si="854"/>
        <v>0</v>
      </c>
      <c r="D367" s="10">
        <v>0</v>
      </c>
      <c r="E367" s="10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0">
        <v>0</v>
      </c>
      <c r="T367" s="10">
        <v>0</v>
      </c>
      <c r="U367" s="10">
        <v>0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0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v>0</v>
      </c>
      <c r="AU367" s="10">
        <v>0</v>
      </c>
      <c r="AV367" s="10">
        <v>0</v>
      </c>
      <c r="AW367" s="10">
        <v>0</v>
      </c>
      <c r="AX367" s="10">
        <v>0</v>
      </c>
      <c r="AY367" s="10">
        <v>0</v>
      </c>
      <c r="AZ367" s="10">
        <v>0</v>
      </c>
      <c r="BA367" s="10">
        <v>0</v>
      </c>
      <c r="BB367" s="10">
        <v>0</v>
      </c>
      <c r="BC367" s="10">
        <v>0</v>
      </c>
      <c r="BD367" s="10">
        <v>0</v>
      </c>
      <c r="BE367" s="10">
        <v>0</v>
      </c>
      <c r="BF367" s="10">
        <v>0</v>
      </c>
    </row>
    <row r="368" spans="1:58" ht="13.15" customHeight="1">
      <c r="A368" s="412">
        <f t="shared" si="811"/>
        <v>362</v>
      </c>
      <c r="B368" s="22" t="s">
        <v>241</v>
      </c>
      <c r="C368" s="38">
        <f t="shared" si="854"/>
        <v>0</v>
      </c>
      <c r="D368" s="10">
        <v>0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10">
        <v>0</v>
      </c>
      <c r="N368" s="10">
        <v>0</v>
      </c>
      <c r="O368" s="10">
        <v>0</v>
      </c>
      <c r="P368" s="10">
        <v>0</v>
      </c>
      <c r="Q368" s="10">
        <v>0</v>
      </c>
      <c r="R368" s="10">
        <v>0</v>
      </c>
      <c r="S368" s="10">
        <v>0</v>
      </c>
      <c r="T368" s="10">
        <v>0</v>
      </c>
      <c r="U368" s="10">
        <v>0</v>
      </c>
      <c r="V368" s="10">
        <v>0</v>
      </c>
      <c r="W368" s="10">
        <v>0</v>
      </c>
      <c r="X368" s="10">
        <v>0</v>
      </c>
      <c r="Y368" s="10">
        <v>0</v>
      </c>
      <c r="Z368" s="10">
        <v>0</v>
      </c>
      <c r="AA368" s="10">
        <v>0</v>
      </c>
      <c r="AB368" s="10">
        <v>0</v>
      </c>
      <c r="AC368" s="10">
        <v>0</v>
      </c>
      <c r="AD368" s="10">
        <v>0</v>
      </c>
      <c r="AE368" s="10">
        <v>0</v>
      </c>
      <c r="AF368" s="10">
        <v>0</v>
      </c>
      <c r="AG368" s="10">
        <v>0</v>
      </c>
      <c r="AH368" s="10">
        <v>0</v>
      </c>
      <c r="AI368" s="10">
        <v>0</v>
      </c>
      <c r="AJ368" s="10">
        <v>0</v>
      </c>
      <c r="AK368" s="10">
        <v>0</v>
      </c>
      <c r="AL368" s="10">
        <v>0</v>
      </c>
      <c r="AM368" s="10">
        <v>0</v>
      </c>
      <c r="AN368" s="10">
        <v>0</v>
      </c>
      <c r="AO368" s="10">
        <v>0</v>
      </c>
      <c r="AP368" s="10">
        <v>0</v>
      </c>
      <c r="AQ368" s="10">
        <v>0</v>
      </c>
      <c r="AR368" s="10">
        <v>0</v>
      </c>
      <c r="AS368" s="10">
        <v>0</v>
      </c>
      <c r="AT368" s="10">
        <v>0</v>
      </c>
      <c r="AU368" s="10">
        <v>0</v>
      </c>
      <c r="AV368" s="10">
        <v>0</v>
      </c>
      <c r="AW368" s="10">
        <v>0</v>
      </c>
      <c r="AX368" s="10">
        <v>0</v>
      </c>
      <c r="AY368" s="10">
        <v>0</v>
      </c>
      <c r="AZ368" s="10">
        <v>0</v>
      </c>
      <c r="BA368" s="10">
        <v>0</v>
      </c>
      <c r="BB368" s="10">
        <v>0</v>
      </c>
      <c r="BC368" s="10">
        <v>0</v>
      </c>
      <c r="BD368" s="10">
        <v>0</v>
      </c>
      <c r="BE368" s="10">
        <v>0</v>
      </c>
      <c r="BF368" s="10">
        <v>0</v>
      </c>
    </row>
    <row r="369" spans="1:58" ht="14.1" customHeight="1">
      <c r="A369" s="412">
        <f t="shared" si="811"/>
        <v>363</v>
      </c>
      <c r="B369" s="22" t="s">
        <v>242</v>
      </c>
      <c r="C369" s="38">
        <f t="shared" si="854"/>
        <v>-6877535.6900000004</v>
      </c>
      <c r="D369" s="10">
        <v>0</v>
      </c>
      <c r="E369" s="10">
        <v>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>
        <v>0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0">
        <v>0</v>
      </c>
      <c r="S369" s="10">
        <v>0</v>
      </c>
      <c r="T369" s="10">
        <v>0</v>
      </c>
      <c r="U369" s="10">
        <v>0</v>
      </c>
      <c r="V369" s="10">
        <v>0</v>
      </c>
      <c r="W369" s="10">
        <v>0</v>
      </c>
      <c r="X369" s="10">
        <v>0</v>
      </c>
      <c r="Y369" s="10">
        <v>-113970.69</v>
      </c>
      <c r="Z369" s="10">
        <v>0</v>
      </c>
      <c r="AA369" s="10">
        <v>0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f>-123547+-18330</f>
        <v>-141877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>
        <v>0</v>
      </c>
      <c r="AT369" s="10">
        <v>0</v>
      </c>
      <c r="AU369" s="10">
        <v>0</v>
      </c>
      <c r="AV369" s="10">
        <v>172594</v>
      </c>
      <c r="AW369" s="10">
        <v>0</v>
      </c>
      <c r="AX369" s="10">
        <v>0</v>
      </c>
      <c r="AY369" s="10">
        <v>0</v>
      </c>
      <c r="AZ369" s="10">
        <v>-6794282</v>
      </c>
      <c r="BA369" s="10">
        <v>0</v>
      </c>
      <c r="BB369" s="10">
        <v>0</v>
      </c>
      <c r="BC369" s="10">
        <v>0</v>
      </c>
      <c r="BD369" s="10">
        <v>0</v>
      </c>
      <c r="BE369" s="10">
        <v>0</v>
      </c>
      <c r="BF369" s="10">
        <v>0</v>
      </c>
    </row>
    <row r="370" spans="1:58" ht="12.75" customHeight="1">
      <c r="A370" s="412">
        <f t="shared" si="811"/>
        <v>364</v>
      </c>
      <c r="B370" s="22" t="s">
        <v>322</v>
      </c>
      <c r="C370" s="38">
        <f t="shared" si="854"/>
        <v>249524</v>
      </c>
      <c r="D370" s="10">
        <v>0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10">
        <v>0</v>
      </c>
      <c r="N370" s="10">
        <v>0</v>
      </c>
      <c r="O370" s="10">
        <v>0</v>
      </c>
      <c r="P370" s="10">
        <v>0</v>
      </c>
      <c r="Q370" s="10">
        <v>0</v>
      </c>
      <c r="R370" s="10">
        <v>0</v>
      </c>
      <c r="S370" s="10">
        <v>0</v>
      </c>
      <c r="T370" s="10">
        <v>595932</v>
      </c>
      <c r="U370" s="436">
        <f>874592-1221000</f>
        <v>-346408</v>
      </c>
      <c r="V370" s="10">
        <v>0</v>
      </c>
      <c r="W370" s="10">
        <v>0</v>
      </c>
      <c r="X370" s="10">
        <v>0</v>
      </c>
      <c r="Y370" s="10">
        <v>0</v>
      </c>
      <c r="Z370" s="10">
        <v>0</v>
      </c>
      <c r="AA370" s="10">
        <v>0</v>
      </c>
      <c r="AB370" s="10">
        <v>0</v>
      </c>
      <c r="AC370" s="10">
        <v>0</v>
      </c>
      <c r="AD370" s="10">
        <v>0</v>
      </c>
      <c r="AE370" s="10">
        <v>0</v>
      </c>
      <c r="AF370" s="10">
        <v>0</v>
      </c>
      <c r="AG370" s="10">
        <v>0</v>
      </c>
      <c r="AH370" s="10">
        <v>0</v>
      </c>
      <c r="AI370" s="10">
        <v>0</v>
      </c>
      <c r="AJ370" s="10">
        <v>0</v>
      </c>
      <c r="AK370" s="10">
        <v>0</v>
      </c>
      <c r="AL370" s="10">
        <v>0</v>
      </c>
      <c r="AM370" s="10">
        <v>0</v>
      </c>
      <c r="AN370" s="10">
        <v>0</v>
      </c>
      <c r="AO370" s="10">
        <v>0</v>
      </c>
      <c r="AP370" s="10">
        <v>0</v>
      </c>
      <c r="AQ370" s="10">
        <v>0</v>
      </c>
      <c r="AR370" s="10">
        <v>0</v>
      </c>
      <c r="AS370" s="10">
        <v>0</v>
      </c>
      <c r="AT370" s="10">
        <v>0</v>
      </c>
      <c r="AU370" s="10">
        <v>0</v>
      </c>
      <c r="AV370" s="10">
        <v>0</v>
      </c>
      <c r="AW370" s="10">
        <v>0</v>
      </c>
      <c r="AX370" s="10">
        <v>0</v>
      </c>
      <c r="AY370" s="10">
        <v>0</v>
      </c>
      <c r="AZ370" s="10">
        <v>0</v>
      </c>
      <c r="BA370" s="10">
        <v>0</v>
      </c>
      <c r="BB370" s="10">
        <v>0</v>
      </c>
      <c r="BC370" s="10">
        <v>0</v>
      </c>
      <c r="BD370" s="10">
        <v>0</v>
      </c>
      <c r="BE370" s="10">
        <v>0</v>
      </c>
      <c r="BF370" s="10">
        <v>0</v>
      </c>
    </row>
    <row r="371" spans="1:58" ht="14.1" customHeight="1">
      <c r="A371" s="412">
        <f t="shared" si="811"/>
        <v>365</v>
      </c>
      <c r="B371" s="22" t="s">
        <v>243</v>
      </c>
      <c r="C371" s="38">
        <f t="shared" si="854"/>
        <v>0</v>
      </c>
      <c r="D371" s="10">
        <v>0</v>
      </c>
      <c r="E371" s="10">
        <v>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0</v>
      </c>
      <c r="T371" s="10">
        <v>0</v>
      </c>
      <c r="U371" s="10">
        <v>0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0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0</v>
      </c>
      <c r="AT371" s="10">
        <v>0</v>
      </c>
      <c r="AU371" s="10">
        <v>0</v>
      </c>
      <c r="AV371" s="10">
        <v>0</v>
      </c>
      <c r="AW371" s="10">
        <v>0</v>
      </c>
      <c r="AX371" s="10">
        <v>0</v>
      </c>
      <c r="AY371" s="10">
        <v>0</v>
      </c>
      <c r="AZ371" s="10">
        <v>0</v>
      </c>
      <c r="BA371" s="10">
        <v>0</v>
      </c>
      <c r="BB371" s="10">
        <v>0</v>
      </c>
      <c r="BC371" s="10">
        <v>0</v>
      </c>
      <c r="BD371" s="10">
        <v>0</v>
      </c>
      <c r="BE371" s="10">
        <v>0</v>
      </c>
      <c r="BF371" s="10">
        <v>0</v>
      </c>
    </row>
    <row r="372" spans="1:58" ht="14.1" customHeight="1">
      <c r="A372" s="412">
        <f t="shared" si="811"/>
        <v>366</v>
      </c>
      <c r="B372" s="22" t="s">
        <v>244</v>
      </c>
      <c r="C372" s="38">
        <f t="shared" si="854"/>
        <v>-2085.3599999999997</v>
      </c>
      <c r="D372" s="10">
        <v>0</v>
      </c>
      <c r="E372" s="10">
        <v>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0</v>
      </c>
      <c r="M372" s="10">
        <v>0</v>
      </c>
      <c r="N372" s="10">
        <v>0</v>
      </c>
      <c r="O372" s="10">
        <v>0</v>
      </c>
      <c r="P372" s="10">
        <v>0</v>
      </c>
      <c r="Q372" s="10">
        <v>0</v>
      </c>
      <c r="R372" s="10">
        <v>0</v>
      </c>
      <c r="S372" s="10">
        <v>0</v>
      </c>
      <c r="T372" s="10">
        <v>0</v>
      </c>
      <c r="U372" s="10">
        <v>0</v>
      </c>
      <c r="V372" s="10">
        <v>0</v>
      </c>
      <c r="W372" s="10">
        <v>0</v>
      </c>
      <c r="X372" s="10">
        <v>0</v>
      </c>
      <c r="Y372" s="10">
        <v>-1812.36</v>
      </c>
      <c r="Z372" s="10">
        <v>0</v>
      </c>
      <c r="AA372" s="10">
        <v>0</v>
      </c>
      <c r="AB372" s="10">
        <v>0</v>
      </c>
      <c r="AC372" s="10">
        <v>0</v>
      </c>
      <c r="AD372" s="10">
        <v>0</v>
      </c>
      <c r="AE372" s="10">
        <v>0</v>
      </c>
      <c r="AF372" s="10">
        <v>0</v>
      </c>
      <c r="AG372" s="10">
        <v>0</v>
      </c>
      <c r="AH372" s="10">
        <v>0</v>
      </c>
      <c r="AI372" s="10">
        <v>-273</v>
      </c>
      <c r="AJ372" s="10">
        <v>0</v>
      </c>
      <c r="AK372" s="10">
        <v>0</v>
      </c>
      <c r="AL372" s="10">
        <v>0</v>
      </c>
      <c r="AM372" s="10">
        <v>0</v>
      </c>
      <c r="AN372" s="10">
        <v>0</v>
      </c>
      <c r="AO372" s="10">
        <v>0</v>
      </c>
      <c r="AP372" s="10">
        <v>0</v>
      </c>
      <c r="AQ372" s="10">
        <v>0</v>
      </c>
      <c r="AR372" s="10">
        <v>0</v>
      </c>
      <c r="AS372" s="10">
        <v>0</v>
      </c>
      <c r="AT372" s="10">
        <v>0</v>
      </c>
      <c r="AU372" s="10">
        <v>0</v>
      </c>
      <c r="AV372" s="10">
        <v>0</v>
      </c>
      <c r="AW372" s="10">
        <v>0</v>
      </c>
      <c r="AX372" s="10">
        <v>0</v>
      </c>
      <c r="AY372" s="10">
        <v>0</v>
      </c>
      <c r="AZ372" s="10">
        <v>0</v>
      </c>
      <c r="BA372" s="10">
        <v>0</v>
      </c>
      <c r="BB372" s="10">
        <v>0</v>
      </c>
      <c r="BC372" s="10">
        <v>0</v>
      </c>
      <c r="BD372" s="10">
        <v>0</v>
      </c>
      <c r="BE372" s="10">
        <v>0</v>
      </c>
      <c r="BF372" s="10">
        <v>0</v>
      </c>
    </row>
    <row r="373" spans="1:58" ht="14.1" customHeight="1">
      <c r="A373" s="412">
        <f t="shared" si="811"/>
        <v>367</v>
      </c>
      <c r="B373" s="22" t="s">
        <v>245</v>
      </c>
      <c r="C373" s="38">
        <f t="shared" si="854"/>
        <v>-1519.94</v>
      </c>
      <c r="D373" s="10">
        <v>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0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0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0">
        <v>-508.94</v>
      </c>
      <c r="Z373" s="10">
        <v>0</v>
      </c>
      <c r="AA373" s="10">
        <v>0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-1011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0</v>
      </c>
      <c r="AT373" s="10">
        <v>0</v>
      </c>
      <c r="AU373" s="10">
        <v>0</v>
      </c>
      <c r="AV373" s="10">
        <v>0</v>
      </c>
      <c r="AW373" s="10">
        <v>0</v>
      </c>
      <c r="AX373" s="10">
        <v>0</v>
      </c>
      <c r="AY373" s="10">
        <v>0</v>
      </c>
      <c r="AZ373" s="10">
        <v>0</v>
      </c>
      <c r="BA373" s="10">
        <v>0</v>
      </c>
      <c r="BB373" s="10">
        <v>0</v>
      </c>
      <c r="BC373" s="10">
        <v>0</v>
      </c>
      <c r="BD373" s="10">
        <v>0</v>
      </c>
      <c r="BE373" s="10">
        <v>0</v>
      </c>
      <c r="BF373" s="10">
        <v>0</v>
      </c>
    </row>
    <row r="374" spans="1:58" s="21" customFormat="1" ht="14.1" customHeight="1">
      <c r="A374" s="412">
        <f t="shared" si="811"/>
        <v>368</v>
      </c>
      <c r="B374" s="22" t="s">
        <v>246</v>
      </c>
      <c r="C374" s="38">
        <f t="shared" si="854"/>
        <v>-346.2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10">
        <v>0</v>
      </c>
      <c r="P374" s="10">
        <v>0</v>
      </c>
      <c r="Q374" s="10">
        <v>0</v>
      </c>
      <c r="R374" s="10">
        <v>0</v>
      </c>
      <c r="S374" s="10">
        <v>0</v>
      </c>
      <c r="T374" s="10">
        <v>0</v>
      </c>
      <c r="U374" s="10">
        <v>0</v>
      </c>
      <c r="V374" s="10">
        <v>0</v>
      </c>
      <c r="W374" s="10">
        <v>0</v>
      </c>
      <c r="X374" s="10">
        <v>0</v>
      </c>
      <c r="Y374" s="10">
        <v>188.8</v>
      </c>
      <c r="Z374" s="10">
        <v>0</v>
      </c>
      <c r="AA374" s="10">
        <v>0</v>
      </c>
      <c r="AB374" s="10">
        <v>0</v>
      </c>
      <c r="AC374" s="10">
        <v>0</v>
      </c>
      <c r="AD374" s="10">
        <v>0</v>
      </c>
      <c r="AE374" s="10">
        <v>0</v>
      </c>
      <c r="AF374" s="10">
        <v>0</v>
      </c>
      <c r="AG374" s="10">
        <v>0</v>
      </c>
      <c r="AH374" s="10">
        <v>0</v>
      </c>
      <c r="AI374" s="10">
        <v>-535</v>
      </c>
      <c r="AJ374" s="10">
        <v>0</v>
      </c>
      <c r="AK374" s="10">
        <v>0</v>
      </c>
      <c r="AL374" s="10">
        <v>0</v>
      </c>
      <c r="AM374" s="10">
        <v>0</v>
      </c>
      <c r="AN374" s="10">
        <v>0</v>
      </c>
      <c r="AO374" s="10">
        <v>0</v>
      </c>
      <c r="AP374" s="10">
        <v>0</v>
      </c>
      <c r="AQ374" s="10">
        <v>0</v>
      </c>
      <c r="AR374" s="10">
        <v>0</v>
      </c>
      <c r="AS374" s="10">
        <v>0</v>
      </c>
      <c r="AT374" s="10">
        <v>0</v>
      </c>
      <c r="AU374" s="10">
        <v>0</v>
      </c>
      <c r="AV374" s="10">
        <v>0</v>
      </c>
      <c r="AW374" s="10">
        <v>0</v>
      </c>
      <c r="AX374" s="10">
        <v>0</v>
      </c>
      <c r="AY374" s="10">
        <v>0</v>
      </c>
      <c r="AZ374" s="10">
        <v>0</v>
      </c>
      <c r="BA374" s="10">
        <v>0</v>
      </c>
      <c r="BB374" s="10">
        <v>0</v>
      </c>
      <c r="BC374" s="10">
        <v>0</v>
      </c>
      <c r="BD374" s="10">
        <v>0</v>
      </c>
      <c r="BE374" s="10">
        <v>0</v>
      </c>
      <c r="BF374" s="10">
        <v>0</v>
      </c>
    </row>
    <row r="375" spans="1:58" ht="14.1" customHeight="1">
      <c r="A375" s="412">
        <f t="shared" si="811"/>
        <v>369</v>
      </c>
      <c r="B375" s="22" t="s">
        <v>247</v>
      </c>
      <c r="C375" s="38">
        <f t="shared" si="854"/>
        <v>168.30999999999995</v>
      </c>
      <c r="D375" s="10">
        <v>0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0</v>
      </c>
      <c r="T375" s="10">
        <v>0</v>
      </c>
      <c r="U375" s="10">
        <v>0</v>
      </c>
      <c r="V375" s="10">
        <v>0</v>
      </c>
      <c r="W375" s="10">
        <v>0</v>
      </c>
      <c r="X375" s="10">
        <v>0</v>
      </c>
      <c r="Y375" s="10">
        <v>1915.31</v>
      </c>
      <c r="Z375" s="10">
        <v>0</v>
      </c>
      <c r="AA375" s="10">
        <v>0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-1747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>
        <v>0</v>
      </c>
      <c r="AT375" s="10">
        <v>0</v>
      </c>
      <c r="AU375" s="10">
        <v>0</v>
      </c>
      <c r="AV375" s="10">
        <v>0</v>
      </c>
      <c r="AW375" s="10">
        <v>0</v>
      </c>
      <c r="AX375" s="10">
        <v>0</v>
      </c>
      <c r="AY375" s="10">
        <v>0</v>
      </c>
      <c r="AZ375" s="10">
        <v>0</v>
      </c>
      <c r="BA375" s="10">
        <v>0</v>
      </c>
      <c r="BB375" s="10">
        <v>0</v>
      </c>
      <c r="BC375" s="10">
        <v>0</v>
      </c>
      <c r="BD375" s="10">
        <v>0</v>
      </c>
      <c r="BE375" s="10">
        <v>0</v>
      </c>
      <c r="BF375" s="10">
        <v>0</v>
      </c>
    </row>
    <row r="376" spans="1:58" ht="14.1" customHeight="1">
      <c r="A376" s="412">
        <f t="shared" si="811"/>
        <v>370</v>
      </c>
      <c r="B376" s="56" t="s">
        <v>248</v>
      </c>
      <c r="C376" s="38">
        <f t="shared" si="854"/>
        <v>-607.02</v>
      </c>
      <c r="D376" s="43">
        <v>0</v>
      </c>
      <c r="E376" s="43">
        <v>0</v>
      </c>
      <c r="F376" s="43">
        <v>0</v>
      </c>
      <c r="G376" s="43">
        <v>0</v>
      </c>
      <c r="H376" s="43">
        <v>0</v>
      </c>
      <c r="I376" s="43">
        <v>0</v>
      </c>
      <c r="J376" s="43">
        <v>0</v>
      </c>
      <c r="K376" s="43">
        <v>0</v>
      </c>
      <c r="L376" s="43">
        <v>0</v>
      </c>
      <c r="M376" s="43">
        <v>0</v>
      </c>
      <c r="N376" s="43">
        <v>0</v>
      </c>
      <c r="O376" s="43">
        <v>0</v>
      </c>
      <c r="P376" s="43">
        <v>0</v>
      </c>
      <c r="Q376" s="43">
        <v>0</v>
      </c>
      <c r="R376" s="43">
        <v>0</v>
      </c>
      <c r="S376" s="43">
        <v>0</v>
      </c>
      <c r="T376" s="43">
        <v>0</v>
      </c>
      <c r="U376" s="43">
        <v>0</v>
      </c>
      <c r="V376" s="43">
        <v>0</v>
      </c>
      <c r="W376" s="43">
        <v>0</v>
      </c>
      <c r="X376" s="43">
        <v>0</v>
      </c>
      <c r="Y376" s="43">
        <v>74.98</v>
      </c>
      <c r="Z376" s="43">
        <v>0</v>
      </c>
      <c r="AA376" s="43">
        <v>0</v>
      </c>
      <c r="AB376" s="43">
        <v>0</v>
      </c>
      <c r="AC376" s="43">
        <v>0</v>
      </c>
      <c r="AD376" s="43">
        <v>0</v>
      </c>
      <c r="AE376" s="43">
        <v>0</v>
      </c>
      <c r="AF376" s="43">
        <v>0</v>
      </c>
      <c r="AG376" s="43">
        <v>0</v>
      </c>
      <c r="AH376" s="43">
        <v>0</v>
      </c>
      <c r="AI376" s="43">
        <v>-682</v>
      </c>
      <c r="AJ376" s="43">
        <v>0</v>
      </c>
      <c r="AK376" s="43">
        <v>0</v>
      </c>
      <c r="AL376" s="43">
        <v>0</v>
      </c>
      <c r="AM376" s="43">
        <v>0</v>
      </c>
      <c r="AN376" s="43">
        <v>0</v>
      </c>
      <c r="AO376" s="43">
        <v>0</v>
      </c>
      <c r="AP376" s="43">
        <v>0</v>
      </c>
      <c r="AQ376" s="43">
        <v>0</v>
      </c>
      <c r="AR376" s="43">
        <v>0</v>
      </c>
      <c r="AS376" s="43">
        <v>0</v>
      </c>
      <c r="AT376" s="43">
        <v>0</v>
      </c>
      <c r="AU376" s="43">
        <v>0</v>
      </c>
      <c r="AV376" s="43">
        <v>0</v>
      </c>
      <c r="AW376" s="43">
        <v>0</v>
      </c>
      <c r="AX376" s="43">
        <v>0</v>
      </c>
      <c r="AY376" s="43">
        <v>0</v>
      </c>
      <c r="AZ376" s="43">
        <v>0</v>
      </c>
      <c r="BA376" s="43">
        <v>0</v>
      </c>
      <c r="BB376" s="43">
        <v>0</v>
      </c>
      <c r="BC376" s="43">
        <v>0</v>
      </c>
      <c r="BD376" s="43">
        <v>0</v>
      </c>
      <c r="BE376" s="43">
        <v>0</v>
      </c>
      <c r="BF376" s="43">
        <v>0</v>
      </c>
    </row>
    <row r="377" spans="1:58" ht="14.1" customHeight="1">
      <c r="A377" s="412">
        <f t="shared" si="811"/>
        <v>371</v>
      </c>
      <c r="B377" s="20" t="s">
        <v>511</v>
      </c>
      <c r="C377" s="47">
        <f>SUM(C366:C376)</f>
        <v>-6632398.2700000014</v>
      </c>
      <c r="D377" s="47">
        <f>SUM(D366:D376)</f>
        <v>0</v>
      </c>
      <c r="E377" s="47">
        <f>SUM(E366:E376)</f>
        <v>0</v>
      </c>
      <c r="F377" s="47">
        <f t="shared" ref="F377" si="855">SUM(F366:F376)</f>
        <v>0</v>
      </c>
      <c r="G377" s="47">
        <f t="shared" ref="G377" si="856">SUM(G366:G376)</f>
        <v>0</v>
      </c>
      <c r="H377" s="47">
        <f t="shared" ref="H377:BE377" si="857">SUM(H366:H376)</f>
        <v>0</v>
      </c>
      <c r="I377" s="47">
        <f>SUM(I366:I376)</f>
        <v>0</v>
      </c>
      <c r="J377" s="47">
        <f>SUM(J366:J376)</f>
        <v>0</v>
      </c>
      <c r="K377" s="47">
        <f>SUM(K366:K376)</f>
        <v>0</v>
      </c>
      <c r="L377" s="47">
        <f t="shared" ref="L377" si="858">SUM(L366:L376)</f>
        <v>0</v>
      </c>
      <c r="M377" s="47">
        <f t="shared" ref="M377:AB377" si="859">SUM(M366:M376)</f>
        <v>0</v>
      </c>
      <c r="N377" s="47">
        <f t="shared" si="859"/>
        <v>0</v>
      </c>
      <c r="O377" s="47">
        <f t="shared" si="859"/>
        <v>0</v>
      </c>
      <c r="P377" s="47">
        <f t="shared" si="859"/>
        <v>0</v>
      </c>
      <c r="Q377" s="47">
        <f t="shared" si="859"/>
        <v>0</v>
      </c>
      <c r="R377" s="47">
        <f t="shared" si="859"/>
        <v>0</v>
      </c>
      <c r="S377" s="47">
        <f t="shared" si="859"/>
        <v>0</v>
      </c>
      <c r="T377" s="47">
        <f t="shared" si="859"/>
        <v>595932</v>
      </c>
      <c r="U377" s="47">
        <f t="shared" si="859"/>
        <v>-346408</v>
      </c>
      <c r="V377" s="47">
        <f t="shared" si="859"/>
        <v>0</v>
      </c>
      <c r="W377" s="47">
        <f t="shared" si="859"/>
        <v>0</v>
      </c>
      <c r="X377" s="47">
        <f t="shared" si="859"/>
        <v>0</v>
      </c>
      <c r="Y377" s="47">
        <f t="shared" si="859"/>
        <v>-114099.27</v>
      </c>
      <c r="Z377" s="47">
        <f t="shared" si="859"/>
        <v>0</v>
      </c>
      <c r="AA377" s="47">
        <f t="shared" si="859"/>
        <v>0</v>
      </c>
      <c r="AB377" s="47">
        <f t="shared" si="859"/>
        <v>0</v>
      </c>
      <c r="AC377" s="47">
        <f t="shared" ref="AC377" si="860">SUM(AC366:AC376)</f>
        <v>0</v>
      </c>
      <c r="AD377" s="47">
        <f>SUM(AD366:AD376)</f>
        <v>0</v>
      </c>
      <c r="AE377" s="47">
        <f>SUM(AE366:AE376)</f>
        <v>0</v>
      </c>
      <c r="AF377" s="47">
        <f t="shared" ref="AF377" si="861">SUM(AF366:AF376)</f>
        <v>0</v>
      </c>
      <c r="AG377" s="47">
        <f t="shared" ref="AG377" si="862">SUM(AG366:AG376)</f>
        <v>0</v>
      </c>
      <c r="AH377" s="47">
        <f>SUM(AH366:AH376)</f>
        <v>0</v>
      </c>
      <c r="AI377" s="47">
        <f>SUM(AI366:AI376)</f>
        <v>-146135</v>
      </c>
      <c r="AJ377" s="47">
        <f t="shared" ref="AJ377" si="863">SUM(AJ366:AJ376)</f>
        <v>0</v>
      </c>
      <c r="AK377" s="47">
        <f t="shared" ref="AK377:AU377" si="864">SUM(AK366:AK376)</f>
        <v>0</v>
      </c>
      <c r="AL377" s="47">
        <f t="shared" si="864"/>
        <v>0</v>
      </c>
      <c r="AM377" s="47">
        <f t="shared" si="864"/>
        <v>0</v>
      </c>
      <c r="AN377" s="47">
        <f t="shared" si="864"/>
        <v>0</v>
      </c>
      <c r="AO377" s="47">
        <f t="shared" si="864"/>
        <v>0</v>
      </c>
      <c r="AP377" s="47">
        <f t="shared" si="864"/>
        <v>0</v>
      </c>
      <c r="AQ377" s="47">
        <f t="shared" si="864"/>
        <v>0</v>
      </c>
      <c r="AR377" s="47">
        <f t="shared" si="864"/>
        <v>0</v>
      </c>
      <c r="AS377" s="47">
        <f t="shared" si="864"/>
        <v>0</v>
      </c>
      <c r="AT377" s="47">
        <f t="shared" si="864"/>
        <v>0</v>
      </c>
      <c r="AU377" s="47">
        <f t="shared" si="864"/>
        <v>0</v>
      </c>
      <c r="AV377" s="47">
        <f>SUM(AV366:AV376)</f>
        <v>172594</v>
      </c>
      <c r="AW377" s="47">
        <f>SUM(AW366:AW376)</f>
        <v>0</v>
      </c>
      <c r="AX377" s="47">
        <f t="shared" si="857"/>
        <v>0</v>
      </c>
      <c r="AY377" s="47">
        <f t="shared" si="857"/>
        <v>0</v>
      </c>
      <c r="AZ377" s="47">
        <f t="shared" si="857"/>
        <v>-6794282</v>
      </c>
      <c r="BA377" s="47">
        <f t="shared" si="857"/>
        <v>0</v>
      </c>
      <c r="BB377" s="47">
        <f t="shared" si="857"/>
        <v>0</v>
      </c>
      <c r="BC377" s="47">
        <f t="shared" si="857"/>
        <v>0</v>
      </c>
      <c r="BD377" s="47">
        <f t="shared" si="857"/>
        <v>0</v>
      </c>
      <c r="BE377" s="47">
        <f t="shared" si="857"/>
        <v>0</v>
      </c>
      <c r="BF377" s="47">
        <f>SUM(BF366:BF376)</f>
        <v>0</v>
      </c>
    </row>
    <row r="378" spans="1:58" ht="14.1" customHeight="1">
      <c r="A378" s="412">
        <f t="shared" si="811"/>
        <v>372</v>
      </c>
      <c r="B378" s="170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  <c r="AV378" s="64"/>
      <c r="AW378" s="64"/>
      <c r="AX378" s="64"/>
      <c r="AY378" s="64"/>
      <c r="AZ378" s="64"/>
      <c r="BA378" s="64"/>
      <c r="BB378" s="64"/>
      <c r="BC378" s="64"/>
      <c r="BD378" s="64"/>
      <c r="BE378" s="64"/>
      <c r="BF378" s="64"/>
    </row>
    <row r="379" spans="1:58" ht="14.1" customHeight="1">
      <c r="A379" s="412">
        <f t="shared" si="811"/>
        <v>373</v>
      </c>
      <c r="B379" s="20" t="s">
        <v>249</v>
      </c>
      <c r="C379" s="16">
        <f>C364+C377</f>
        <v>-6698454.9300000016</v>
      </c>
      <c r="D379" s="16">
        <f>D364+D377</f>
        <v>0</v>
      </c>
      <c r="E379" s="16">
        <f>E364+E377</f>
        <v>0</v>
      </c>
      <c r="F379" s="16">
        <f t="shared" ref="F379" si="865">F364+F377</f>
        <v>0</v>
      </c>
      <c r="G379" s="16">
        <f t="shared" ref="G379" si="866">G364+G377</f>
        <v>0</v>
      </c>
      <c r="H379" s="16">
        <f t="shared" ref="H379:BE379" si="867">H364+H377</f>
        <v>0</v>
      </c>
      <c r="I379" s="16">
        <f>I364+I377</f>
        <v>0</v>
      </c>
      <c r="J379" s="16">
        <f>J364+J377</f>
        <v>0</v>
      </c>
      <c r="K379" s="16">
        <f>K364+K377</f>
        <v>0</v>
      </c>
      <c r="L379" s="16">
        <f t="shared" ref="L379" si="868">L364+L377</f>
        <v>0</v>
      </c>
      <c r="M379" s="16">
        <f t="shared" ref="M379:AB379" si="869">M364+M377</f>
        <v>0</v>
      </c>
      <c r="N379" s="16">
        <f t="shared" si="869"/>
        <v>0</v>
      </c>
      <c r="O379" s="16">
        <f t="shared" si="869"/>
        <v>0</v>
      </c>
      <c r="P379" s="16">
        <f t="shared" si="869"/>
        <v>0</v>
      </c>
      <c r="Q379" s="16">
        <f t="shared" si="869"/>
        <v>0</v>
      </c>
      <c r="R379" s="16">
        <f t="shared" si="869"/>
        <v>0</v>
      </c>
      <c r="S379" s="16">
        <f t="shared" si="869"/>
        <v>0</v>
      </c>
      <c r="T379" s="16">
        <f t="shared" si="869"/>
        <v>595932</v>
      </c>
      <c r="U379" s="16">
        <f t="shared" si="869"/>
        <v>-346408</v>
      </c>
      <c r="V379" s="16">
        <f t="shared" si="869"/>
        <v>0</v>
      </c>
      <c r="W379" s="16">
        <f t="shared" si="869"/>
        <v>0</v>
      </c>
      <c r="X379" s="16">
        <f t="shared" si="869"/>
        <v>0</v>
      </c>
      <c r="Y379" s="16">
        <f t="shared" si="869"/>
        <v>-83730.929999999993</v>
      </c>
      <c r="Z379" s="16">
        <f t="shared" si="869"/>
        <v>0</v>
      </c>
      <c r="AA379" s="16">
        <f t="shared" si="869"/>
        <v>0</v>
      </c>
      <c r="AB379" s="16">
        <f t="shared" si="869"/>
        <v>0</v>
      </c>
      <c r="AC379" s="16">
        <f t="shared" ref="AC379" si="870">AC364+AC377</f>
        <v>0</v>
      </c>
      <c r="AD379" s="16">
        <f>AD364+AD377</f>
        <v>0</v>
      </c>
      <c r="AE379" s="16">
        <f>AE364+AE377</f>
        <v>0</v>
      </c>
      <c r="AF379" s="16">
        <f t="shared" ref="AF379" si="871">AF364+AF377</f>
        <v>0</v>
      </c>
      <c r="AG379" s="16">
        <f t="shared" ref="AG379" si="872">AG364+AG377</f>
        <v>0</v>
      </c>
      <c r="AH379" s="16">
        <f>AH364+AH377</f>
        <v>0</v>
      </c>
      <c r="AI379" s="16">
        <f>AI364+AI377</f>
        <v>-242560</v>
      </c>
      <c r="AJ379" s="16">
        <f t="shared" ref="AJ379" si="873">AJ364+AJ377</f>
        <v>0</v>
      </c>
      <c r="AK379" s="16">
        <f t="shared" ref="AK379:AU379" si="874">AK364+AK377</f>
        <v>0</v>
      </c>
      <c r="AL379" s="16">
        <f t="shared" si="874"/>
        <v>0</v>
      </c>
      <c r="AM379" s="16">
        <f t="shared" si="874"/>
        <v>0</v>
      </c>
      <c r="AN379" s="16">
        <f t="shared" si="874"/>
        <v>0</v>
      </c>
      <c r="AO379" s="16">
        <f t="shared" si="874"/>
        <v>0</v>
      </c>
      <c r="AP379" s="16">
        <f t="shared" si="874"/>
        <v>0</v>
      </c>
      <c r="AQ379" s="16">
        <f t="shared" si="874"/>
        <v>0</v>
      </c>
      <c r="AR379" s="16">
        <f t="shared" si="874"/>
        <v>0</v>
      </c>
      <c r="AS379" s="16">
        <f t="shared" si="874"/>
        <v>0</v>
      </c>
      <c r="AT379" s="16">
        <f t="shared" si="874"/>
        <v>0</v>
      </c>
      <c r="AU379" s="16">
        <f t="shared" si="874"/>
        <v>0</v>
      </c>
      <c r="AV379" s="16">
        <f>AV364+AV377</f>
        <v>172594</v>
      </c>
      <c r="AW379" s="16">
        <f>AW364+AW377</f>
        <v>0</v>
      </c>
      <c r="AX379" s="16">
        <f t="shared" si="867"/>
        <v>0</v>
      </c>
      <c r="AY379" s="16">
        <f t="shared" si="867"/>
        <v>0</v>
      </c>
      <c r="AZ379" s="16">
        <f t="shared" si="867"/>
        <v>-6794282</v>
      </c>
      <c r="BA379" s="16">
        <f t="shared" si="867"/>
        <v>0</v>
      </c>
      <c r="BB379" s="16">
        <f t="shared" si="867"/>
        <v>0</v>
      </c>
      <c r="BC379" s="16">
        <f t="shared" si="867"/>
        <v>0</v>
      </c>
      <c r="BD379" s="16">
        <f t="shared" si="867"/>
        <v>0</v>
      </c>
      <c r="BE379" s="16">
        <f t="shared" si="867"/>
        <v>0</v>
      </c>
      <c r="BF379" s="16">
        <f>BF364+BF377</f>
        <v>0</v>
      </c>
    </row>
    <row r="380" spans="1:58" ht="14.1" customHeight="1">
      <c r="A380" s="412">
        <f t="shared" si="811"/>
        <v>374</v>
      </c>
      <c r="B380" s="134"/>
      <c r="C380" s="169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</row>
    <row r="381" spans="1:58" ht="14.1" customHeight="1">
      <c r="A381" s="412">
        <f t="shared" si="811"/>
        <v>375</v>
      </c>
      <c r="B381" s="13" t="s">
        <v>250</v>
      </c>
      <c r="C381" s="61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</row>
    <row r="382" spans="1:58" ht="14.1" customHeight="1">
      <c r="A382" s="412">
        <f t="shared" si="811"/>
        <v>376</v>
      </c>
      <c r="B382" s="22" t="s">
        <v>251</v>
      </c>
      <c r="C382" s="38">
        <f t="shared" ref="C382:C387" si="875">SUM(D382:BF382)</f>
        <v>-6107.65</v>
      </c>
      <c r="D382" s="10">
        <v>0</v>
      </c>
      <c r="E382" s="10">
        <v>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0</v>
      </c>
      <c r="M382" s="10">
        <v>0</v>
      </c>
      <c r="N382" s="10">
        <v>0</v>
      </c>
      <c r="O382" s="10">
        <v>0</v>
      </c>
      <c r="P382" s="10">
        <v>0</v>
      </c>
      <c r="Q382" s="10">
        <v>0</v>
      </c>
      <c r="R382" s="10">
        <v>0</v>
      </c>
      <c r="S382" s="10">
        <v>0</v>
      </c>
      <c r="T382" s="10">
        <v>0</v>
      </c>
      <c r="U382" s="10">
        <v>0</v>
      </c>
      <c r="V382" s="10">
        <v>0</v>
      </c>
      <c r="W382" s="10">
        <v>0</v>
      </c>
      <c r="X382" s="10">
        <v>0</v>
      </c>
      <c r="Y382" s="10">
        <v>-1776.65</v>
      </c>
      <c r="Z382" s="10">
        <v>0</v>
      </c>
      <c r="AA382" s="10">
        <v>0</v>
      </c>
      <c r="AB382" s="10">
        <v>0</v>
      </c>
      <c r="AC382" s="10">
        <v>0</v>
      </c>
      <c r="AD382" s="10">
        <v>0</v>
      </c>
      <c r="AE382" s="10">
        <v>0</v>
      </c>
      <c r="AF382" s="10">
        <v>0</v>
      </c>
      <c r="AG382" s="10">
        <v>0</v>
      </c>
      <c r="AH382" s="10">
        <v>0</v>
      </c>
      <c r="AI382" s="10">
        <v>-4331</v>
      </c>
      <c r="AJ382" s="10">
        <v>0</v>
      </c>
      <c r="AK382" s="10">
        <v>0</v>
      </c>
      <c r="AL382" s="10">
        <v>0</v>
      </c>
      <c r="AM382" s="10">
        <v>0</v>
      </c>
      <c r="AN382" s="10">
        <v>0</v>
      </c>
      <c r="AO382" s="10">
        <v>0</v>
      </c>
      <c r="AP382" s="10">
        <v>0</v>
      </c>
      <c r="AQ382" s="10">
        <v>0</v>
      </c>
      <c r="AR382" s="10">
        <v>0</v>
      </c>
      <c r="AS382" s="10">
        <v>0</v>
      </c>
      <c r="AT382" s="10">
        <v>0</v>
      </c>
      <c r="AU382" s="10">
        <v>0</v>
      </c>
      <c r="AV382" s="10">
        <v>0</v>
      </c>
      <c r="AW382" s="10">
        <v>0</v>
      </c>
      <c r="AX382" s="10">
        <v>0</v>
      </c>
      <c r="AY382" s="10">
        <v>0</v>
      </c>
      <c r="AZ382" s="10">
        <v>0</v>
      </c>
      <c r="BA382" s="10">
        <v>0</v>
      </c>
      <c r="BB382" s="10">
        <v>0</v>
      </c>
      <c r="BC382" s="10">
        <v>0</v>
      </c>
      <c r="BD382" s="10">
        <v>0</v>
      </c>
      <c r="BE382" s="10">
        <v>0</v>
      </c>
      <c r="BF382" s="10">
        <v>0</v>
      </c>
    </row>
    <row r="383" spans="1:58" ht="14.1" customHeight="1">
      <c r="A383" s="412">
        <f t="shared" si="811"/>
        <v>377</v>
      </c>
      <c r="B383" s="22" t="s">
        <v>252</v>
      </c>
      <c r="C383" s="38">
        <f t="shared" si="875"/>
        <v>-7028.34</v>
      </c>
      <c r="D383" s="10">
        <v>0</v>
      </c>
      <c r="E383" s="10">
        <v>0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0</v>
      </c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0</v>
      </c>
      <c r="T383" s="10">
        <v>0</v>
      </c>
      <c r="U383" s="10">
        <v>0</v>
      </c>
      <c r="V383" s="10">
        <v>0</v>
      </c>
      <c r="W383" s="10">
        <v>0</v>
      </c>
      <c r="X383" s="10">
        <v>0</v>
      </c>
      <c r="Y383" s="10">
        <v>-883.34</v>
      </c>
      <c r="Z383" s="10">
        <v>0</v>
      </c>
      <c r="AA383" s="10">
        <v>0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f>-61+-6052+-32</f>
        <v>-6145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v>0</v>
      </c>
      <c r="AU383" s="10">
        <v>0</v>
      </c>
      <c r="AV383" s="10">
        <v>0</v>
      </c>
      <c r="AW383" s="10">
        <v>0</v>
      </c>
      <c r="AX383" s="10">
        <v>0</v>
      </c>
      <c r="AY383" s="10">
        <v>0</v>
      </c>
      <c r="AZ383" s="10">
        <v>0</v>
      </c>
      <c r="BA383" s="10">
        <v>0</v>
      </c>
      <c r="BB383" s="10">
        <v>0</v>
      </c>
      <c r="BC383" s="10">
        <v>0</v>
      </c>
      <c r="BD383" s="10">
        <v>0</v>
      </c>
      <c r="BE383" s="10">
        <v>0</v>
      </c>
      <c r="BF383" s="10">
        <v>0</v>
      </c>
    </row>
    <row r="384" spans="1:58" ht="14.1" customHeight="1">
      <c r="A384" s="412">
        <f t="shared" si="811"/>
        <v>378</v>
      </c>
      <c r="B384" s="22" t="s">
        <v>253</v>
      </c>
      <c r="C384" s="38">
        <f t="shared" si="875"/>
        <v>-22121.98</v>
      </c>
      <c r="D384" s="10">
        <v>0</v>
      </c>
      <c r="E384" s="10">
        <v>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v>0</v>
      </c>
      <c r="M384" s="10">
        <v>0</v>
      </c>
      <c r="N384" s="10">
        <v>0</v>
      </c>
      <c r="O384" s="10">
        <v>0</v>
      </c>
      <c r="P384" s="10">
        <v>0</v>
      </c>
      <c r="Q384" s="10">
        <v>0</v>
      </c>
      <c r="R384" s="10">
        <v>0</v>
      </c>
      <c r="S384" s="10">
        <v>0</v>
      </c>
      <c r="T384" s="10">
        <v>0</v>
      </c>
      <c r="U384" s="10">
        <v>0</v>
      </c>
      <c r="V384" s="10">
        <v>0</v>
      </c>
      <c r="W384" s="10">
        <v>0</v>
      </c>
      <c r="X384" s="10">
        <v>0</v>
      </c>
      <c r="Y384" s="10">
        <v>5823.02</v>
      </c>
      <c r="Z384" s="10">
        <v>0</v>
      </c>
      <c r="AA384" s="10">
        <v>0</v>
      </c>
      <c r="AB384" s="10">
        <v>0</v>
      </c>
      <c r="AC384" s="10">
        <v>0</v>
      </c>
      <c r="AD384" s="10">
        <v>0</v>
      </c>
      <c r="AE384" s="10">
        <v>0</v>
      </c>
      <c r="AF384" s="10">
        <v>0</v>
      </c>
      <c r="AG384" s="10">
        <v>0</v>
      </c>
      <c r="AH384" s="10">
        <v>0</v>
      </c>
      <c r="AI384" s="10">
        <f>-995+-4489+-19260+-3201</f>
        <v>-27945</v>
      </c>
      <c r="AJ384" s="10">
        <v>0</v>
      </c>
      <c r="AK384" s="10">
        <v>0</v>
      </c>
      <c r="AL384" s="10">
        <v>0</v>
      </c>
      <c r="AM384" s="10">
        <v>0</v>
      </c>
      <c r="AN384" s="10">
        <v>0</v>
      </c>
      <c r="AO384" s="10">
        <v>0</v>
      </c>
      <c r="AP384" s="10">
        <v>0</v>
      </c>
      <c r="AQ384" s="10">
        <v>0</v>
      </c>
      <c r="AR384" s="10">
        <v>0</v>
      </c>
      <c r="AS384" s="10">
        <v>0</v>
      </c>
      <c r="AT384" s="10">
        <v>0</v>
      </c>
      <c r="AU384" s="10">
        <v>0</v>
      </c>
      <c r="AV384" s="10">
        <v>0</v>
      </c>
      <c r="AW384" s="10">
        <v>0</v>
      </c>
      <c r="AX384" s="10">
        <v>0</v>
      </c>
      <c r="AY384" s="10">
        <v>0</v>
      </c>
      <c r="AZ384" s="10">
        <v>0</v>
      </c>
      <c r="BA384" s="10">
        <v>0</v>
      </c>
      <c r="BB384" s="10">
        <v>0</v>
      </c>
      <c r="BC384" s="10">
        <v>0</v>
      </c>
      <c r="BD384" s="10">
        <v>0</v>
      </c>
      <c r="BE384" s="10">
        <v>0</v>
      </c>
      <c r="BF384" s="10">
        <v>0</v>
      </c>
    </row>
    <row r="385" spans="1:58" ht="14.1" customHeight="1">
      <c r="A385" s="412">
        <f t="shared" si="811"/>
        <v>379</v>
      </c>
      <c r="B385" s="22" t="s">
        <v>254</v>
      </c>
      <c r="C385" s="38">
        <f t="shared" si="875"/>
        <v>0</v>
      </c>
      <c r="D385" s="10">
        <v>0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0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  <c r="S385" s="10">
        <v>0</v>
      </c>
      <c r="T385" s="10">
        <v>0</v>
      </c>
      <c r="U385" s="10">
        <v>0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0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0</v>
      </c>
      <c r="AT385" s="10">
        <v>0</v>
      </c>
      <c r="AU385" s="10">
        <v>0</v>
      </c>
      <c r="AV385" s="10">
        <v>0</v>
      </c>
      <c r="AW385" s="10">
        <v>0</v>
      </c>
      <c r="AX385" s="10">
        <v>0</v>
      </c>
      <c r="AY385" s="10">
        <v>0</v>
      </c>
      <c r="AZ385" s="10">
        <v>0</v>
      </c>
      <c r="BA385" s="10">
        <v>0</v>
      </c>
      <c r="BB385" s="10">
        <v>0</v>
      </c>
      <c r="BC385" s="10">
        <v>0</v>
      </c>
      <c r="BD385" s="10">
        <v>0</v>
      </c>
      <c r="BE385" s="10">
        <v>0</v>
      </c>
      <c r="BF385" s="10">
        <v>0</v>
      </c>
    </row>
    <row r="386" spans="1:58" s="21" customFormat="1" ht="14.1" customHeight="1">
      <c r="A386" s="412">
        <f t="shared" si="811"/>
        <v>380</v>
      </c>
      <c r="B386" s="22" t="s">
        <v>255</v>
      </c>
      <c r="C386" s="38">
        <f t="shared" si="875"/>
        <v>0</v>
      </c>
      <c r="D386" s="10">
        <v>0</v>
      </c>
      <c r="E386" s="10">
        <v>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10">
        <v>0</v>
      </c>
      <c r="M386" s="10">
        <v>0</v>
      </c>
      <c r="N386" s="10">
        <v>0</v>
      </c>
      <c r="O386" s="10">
        <v>0</v>
      </c>
      <c r="P386" s="10">
        <v>0</v>
      </c>
      <c r="Q386" s="10">
        <v>0</v>
      </c>
      <c r="R386" s="10">
        <v>0</v>
      </c>
      <c r="S386" s="10">
        <v>0</v>
      </c>
      <c r="T386" s="10">
        <v>0</v>
      </c>
      <c r="U386" s="10">
        <v>0</v>
      </c>
      <c r="V386" s="10">
        <v>0</v>
      </c>
      <c r="W386" s="10">
        <v>0</v>
      </c>
      <c r="X386" s="10">
        <v>0</v>
      </c>
      <c r="Y386" s="10">
        <v>0</v>
      </c>
      <c r="Z386" s="10">
        <v>0</v>
      </c>
      <c r="AA386" s="10">
        <v>0</v>
      </c>
      <c r="AB386" s="10">
        <v>0</v>
      </c>
      <c r="AC386" s="10">
        <v>0</v>
      </c>
      <c r="AD386" s="10">
        <v>0</v>
      </c>
      <c r="AE386" s="10">
        <v>0</v>
      </c>
      <c r="AF386" s="10">
        <v>0</v>
      </c>
      <c r="AG386" s="10">
        <v>0</v>
      </c>
      <c r="AH386" s="10">
        <v>0</v>
      </c>
      <c r="AI386" s="10">
        <v>0</v>
      </c>
      <c r="AJ386" s="10">
        <v>0</v>
      </c>
      <c r="AK386" s="10">
        <v>0</v>
      </c>
      <c r="AL386" s="10">
        <v>0</v>
      </c>
      <c r="AM386" s="10">
        <v>0</v>
      </c>
      <c r="AN386" s="10">
        <v>0</v>
      </c>
      <c r="AO386" s="10">
        <v>0</v>
      </c>
      <c r="AP386" s="10">
        <v>0</v>
      </c>
      <c r="AQ386" s="10">
        <v>0</v>
      </c>
      <c r="AR386" s="10">
        <v>0</v>
      </c>
      <c r="AS386" s="10">
        <v>0</v>
      </c>
      <c r="AT386" s="10">
        <v>0</v>
      </c>
      <c r="AU386" s="10">
        <v>0</v>
      </c>
      <c r="AV386" s="10">
        <v>0</v>
      </c>
      <c r="AW386" s="10">
        <v>0</v>
      </c>
      <c r="AX386" s="10">
        <v>0</v>
      </c>
      <c r="AY386" s="10">
        <v>0</v>
      </c>
      <c r="AZ386" s="10">
        <v>0</v>
      </c>
      <c r="BA386" s="10">
        <v>0</v>
      </c>
      <c r="BB386" s="10">
        <v>0</v>
      </c>
      <c r="BC386" s="10">
        <v>0</v>
      </c>
      <c r="BD386" s="10">
        <v>0</v>
      </c>
      <c r="BE386" s="10">
        <v>0</v>
      </c>
      <c r="BF386" s="10">
        <v>0</v>
      </c>
    </row>
    <row r="387" spans="1:58" ht="14.1" customHeight="1">
      <c r="A387" s="412">
        <f t="shared" si="811"/>
        <v>381</v>
      </c>
      <c r="B387" s="56" t="s">
        <v>256</v>
      </c>
      <c r="C387" s="38">
        <f t="shared" si="875"/>
        <v>-60.97</v>
      </c>
      <c r="D387" s="43">
        <v>0</v>
      </c>
      <c r="E387" s="43">
        <v>0</v>
      </c>
      <c r="F387" s="43">
        <v>0</v>
      </c>
      <c r="G387" s="43">
        <v>0</v>
      </c>
      <c r="H387" s="43">
        <v>0</v>
      </c>
      <c r="I387" s="43">
        <v>0</v>
      </c>
      <c r="J387" s="43">
        <v>0</v>
      </c>
      <c r="K387" s="43">
        <v>0</v>
      </c>
      <c r="L387" s="43">
        <v>0</v>
      </c>
      <c r="M387" s="43">
        <v>0</v>
      </c>
      <c r="N387" s="10">
        <v>0</v>
      </c>
      <c r="O387" s="43">
        <v>0</v>
      </c>
      <c r="P387" s="43">
        <v>0</v>
      </c>
      <c r="Q387" s="43">
        <v>0</v>
      </c>
      <c r="R387" s="43">
        <v>0</v>
      </c>
      <c r="S387" s="43">
        <v>0</v>
      </c>
      <c r="T387" s="43">
        <v>0</v>
      </c>
      <c r="U387" s="43">
        <v>0</v>
      </c>
      <c r="V387" s="43">
        <v>0</v>
      </c>
      <c r="W387" s="43">
        <v>0</v>
      </c>
      <c r="X387" s="43">
        <v>0</v>
      </c>
      <c r="Y387" s="43">
        <v>-36.97</v>
      </c>
      <c r="Z387" s="43">
        <v>0</v>
      </c>
      <c r="AA387" s="43">
        <v>0</v>
      </c>
      <c r="AB387" s="43">
        <v>0</v>
      </c>
      <c r="AC387" s="43">
        <v>0</v>
      </c>
      <c r="AD387" s="43">
        <v>0</v>
      </c>
      <c r="AE387" s="43">
        <v>0</v>
      </c>
      <c r="AF387" s="43">
        <v>0</v>
      </c>
      <c r="AG387" s="43">
        <v>0</v>
      </c>
      <c r="AH387" s="43">
        <v>0</v>
      </c>
      <c r="AI387" s="43">
        <v>-24</v>
      </c>
      <c r="AJ387" s="43">
        <v>0</v>
      </c>
      <c r="AK387" s="43">
        <v>0</v>
      </c>
      <c r="AL387" s="43">
        <v>0</v>
      </c>
      <c r="AM387" s="43">
        <v>0</v>
      </c>
      <c r="AN387" s="43">
        <v>0</v>
      </c>
      <c r="AO387" s="43">
        <v>0</v>
      </c>
      <c r="AP387" s="43">
        <v>0</v>
      </c>
      <c r="AQ387" s="43">
        <v>0</v>
      </c>
      <c r="AR387" s="43">
        <v>0</v>
      </c>
      <c r="AS387" s="43">
        <v>0</v>
      </c>
      <c r="AT387" s="43">
        <v>0</v>
      </c>
      <c r="AU387" s="43">
        <v>0</v>
      </c>
      <c r="AV387" s="43">
        <v>0</v>
      </c>
      <c r="AW387" s="43">
        <v>0</v>
      </c>
      <c r="AX387" s="43">
        <v>0</v>
      </c>
      <c r="AY387" s="43">
        <v>0</v>
      </c>
      <c r="AZ387" s="43">
        <v>0</v>
      </c>
      <c r="BA387" s="43">
        <v>0</v>
      </c>
      <c r="BB387" s="43">
        <v>0</v>
      </c>
      <c r="BC387" s="43">
        <v>0</v>
      </c>
      <c r="BD387" s="43">
        <v>0</v>
      </c>
      <c r="BE387" s="43">
        <v>0</v>
      </c>
      <c r="BF387" s="43">
        <v>0</v>
      </c>
    </row>
    <row r="388" spans="1:58" ht="14.1" customHeight="1">
      <c r="A388" s="412">
        <f t="shared" si="811"/>
        <v>382</v>
      </c>
      <c r="B388" s="20" t="s">
        <v>512</v>
      </c>
      <c r="C388" s="86">
        <f>SUM(C382:C387)</f>
        <v>-35318.94</v>
      </c>
      <c r="D388" s="86">
        <f>SUM(D382:D387)</f>
        <v>0</v>
      </c>
      <c r="E388" s="86">
        <f>SUM(E382:E387)</f>
        <v>0</v>
      </c>
      <c r="F388" s="86">
        <f t="shared" ref="F388" si="876">SUM(F382:F387)</f>
        <v>0</v>
      </c>
      <c r="G388" s="86">
        <f t="shared" ref="G388" si="877">SUM(G382:G387)</f>
        <v>0</v>
      </c>
      <c r="H388" s="86">
        <f t="shared" ref="H388:BE388" si="878">SUM(H382:H387)</f>
        <v>0</v>
      </c>
      <c r="I388" s="86">
        <f>SUM(I382:I387)</f>
        <v>0</v>
      </c>
      <c r="J388" s="86">
        <f>SUM(J382:J387)</f>
        <v>0</v>
      </c>
      <c r="K388" s="86">
        <f>SUM(K382:K387)</f>
        <v>0</v>
      </c>
      <c r="L388" s="86">
        <f t="shared" ref="L388" si="879">SUM(L382:L387)</f>
        <v>0</v>
      </c>
      <c r="M388" s="86">
        <f t="shared" ref="M388:AB388" si="880">SUM(M382:M387)</f>
        <v>0</v>
      </c>
      <c r="N388" s="86">
        <f t="shared" si="880"/>
        <v>0</v>
      </c>
      <c r="O388" s="86">
        <f t="shared" si="880"/>
        <v>0</v>
      </c>
      <c r="P388" s="86">
        <f t="shared" si="880"/>
        <v>0</v>
      </c>
      <c r="Q388" s="86">
        <f t="shared" si="880"/>
        <v>0</v>
      </c>
      <c r="R388" s="86">
        <f t="shared" si="880"/>
        <v>0</v>
      </c>
      <c r="S388" s="86">
        <f t="shared" si="880"/>
        <v>0</v>
      </c>
      <c r="T388" s="86">
        <f t="shared" si="880"/>
        <v>0</v>
      </c>
      <c r="U388" s="86">
        <f t="shared" si="880"/>
        <v>0</v>
      </c>
      <c r="V388" s="86">
        <f t="shared" si="880"/>
        <v>0</v>
      </c>
      <c r="W388" s="86">
        <f t="shared" si="880"/>
        <v>0</v>
      </c>
      <c r="X388" s="86">
        <f t="shared" si="880"/>
        <v>0</v>
      </c>
      <c r="Y388" s="86">
        <f t="shared" si="880"/>
        <v>3126.0600000000004</v>
      </c>
      <c r="Z388" s="86">
        <f t="shared" si="880"/>
        <v>0</v>
      </c>
      <c r="AA388" s="86">
        <f t="shared" si="880"/>
        <v>0</v>
      </c>
      <c r="AB388" s="86">
        <f t="shared" si="880"/>
        <v>0</v>
      </c>
      <c r="AC388" s="86">
        <f t="shared" ref="AC388" si="881">SUM(AC382:AC387)</f>
        <v>0</v>
      </c>
      <c r="AD388" s="86">
        <f>SUM(AD382:AD387)</f>
        <v>0</v>
      </c>
      <c r="AE388" s="86">
        <f>SUM(AE382:AE387)</f>
        <v>0</v>
      </c>
      <c r="AF388" s="86">
        <f t="shared" ref="AF388" si="882">SUM(AF382:AF387)</f>
        <v>0</v>
      </c>
      <c r="AG388" s="86">
        <f t="shared" ref="AG388" si="883">SUM(AG382:AG387)</f>
        <v>0</v>
      </c>
      <c r="AH388" s="86">
        <f>SUM(AH382:AH387)</f>
        <v>0</v>
      </c>
      <c r="AI388" s="86">
        <f>SUM(AI382:AI387)</f>
        <v>-38445</v>
      </c>
      <c r="AJ388" s="86">
        <f t="shared" ref="AJ388" si="884">SUM(AJ382:AJ387)</f>
        <v>0</v>
      </c>
      <c r="AK388" s="86">
        <f t="shared" ref="AK388:AU388" si="885">SUM(AK382:AK387)</f>
        <v>0</v>
      </c>
      <c r="AL388" s="86">
        <f t="shared" si="885"/>
        <v>0</v>
      </c>
      <c r="AM388" s="86">
        <f t="shared" si="885"/>
        <v>0</v>
      </c>
      <c r="AN388" s="86">
        <f t="shared" si="885"/>
        <v>0</v>
      </c>
      <c r="AO388" s="86">
        <f t="shared" si="885"/>
        <v>0</v>
      </c>
      <c r="AP388" s="86">
        <f t="shared" si="885"/>
        <v>0</v>
      </c>
      <c r="AQ388" s="86">
        <f t="shared" si="885"/>
        <v>0</v>
      </c>
      <c r="AR388" s="86">
        <f t="shared" si="885"/>
        <v>0</v>
      </c>
      <c r="AS388" s="86">
        <f t="shared" si="885"/>
        <v>0</v>
      </c>
      <c r="AT388" s="86">
        <f t="shared" si="885"/>
        <v>0</v>
      </c>
      <c r="AU388" s="86">
        <f t="shared" si="885"/>
        <v>0</v>
      </c>
      <c r="AV388" s="86">
        <f>SUM(AV382:AV387)</f>
        <v>0</v>
      </c>
      <c r="AW388" s="86">
        <f>SUM(AW382:AW387)</f>
        <v>0</v>
      </c>
      <c r="AX388" s="86">
        <f t="shared" si="878"/>
        <v>0</v>
      </c>
      <c r="AY388" s="86">
        <f t="shared" si="878"/>
        <v>0</v>
      </c>
      <c r="AZ388" s="86">
        <f t="shared" si="878"/>
        <v>0</v>
      </c>
      <c r="BA388" s="86">
        <f t="shared" si="878"/>
        <v>0</v>
      </c>
      <c r="BB388" s="86">
        <f t="shared" si="878"/>
        <v>0</v>
      </c>
      <c r="BC388" s="86">
        <f t="shared" si="878"/>
        <v>0</v>
      </c>
      <c r="BD388" s="86">
        <f t="shared" si="878"/>
        <v>0</v>
      </c>
      <c r="BE388" s="86">
        <f t="shared" si="878"/>
        <v>0</v>
      </c>
      <c r="BF388" s="86">
        <f>SUM(BF382:BF387)</f>
        <v>0</v>
      </c>
    </row>
    <row r="389" spans="1:58" ht="14.1" customHeight="1">
      <c r="A389" s="412">
        <f t="shared" si="811"/>
        <v>383</v>
      </c>
      <c r="B389" s="134"/>
      <c r="C389" s="134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</row>
    <row r="390" spans="1:58" ht="14.1" customHeight="1">
      <c r="A390" s="412">
        <f t="shared" si="811"/>
        <v>384</v>
      </c>
      <c r="B390" s="13" t="s">
        <v>257</v>
      </c>
      <c r="C390" s="1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</row>
    <row r="391" spans="1:58" ht="14.1" customHeight="1">
      <c r="A391" s="412">
        <f t="shared" si="811"/>
        <v>385</v>
      </c>
      <c r="B391" s="22" t="s">
        <v>258</v>
      </c>
      <c r="C391" s="38">
        <f>SUM(D391:BF391)</f>
        <v>-1949.77</v>
      </c>
      <c r="D391" s="43">
        <v>0</v>
      </c>
      <c r="E391" s="43">
        <v>0</v>
      </c>
      <c r="F391" s="43">
        <v>0</v>
      </c>
      <c r="G391" s="43">
        <v>0</v>
      </c>
      <c r="H391" s="43">
        <v>0</v>
      </c>
      <c r="I391" s="43">
        <v>0</v>
      </c>
      <c r="J391" s="43">
        <v>0</v>
      </c>
      <c r="K391" s="43">
        <v>0</v>
      </c>
      <c r="L391" s="43">
        <v>0</v>
      </c>
      <c r="M391" s="43">
        <v>0</v>
      </c>
      <c r="N391" s="43">
        <v>0</v>
      </c>
      <c r="O391" s="43">
        <v>0</v>
      </c>
      <c r="P391" s="43">
        <v>0</v>
      </c>
      <c r="Q391" s="43">
        <v>0</v>
      </c>
      <c r="R391" s="43">
        <v>0</v>
      </c>
      <c r="S391" s="43">
        <v>0</v>
      </c>
      <c r="T391" s="43">
        <v>0</v>
      </c>
      <c r="U391" s="43">
        <v>0</v>
      </c>
      <c r="V391" s="43">
        <v>0</v>
      </c>
      <c r="W391" s="43">
        <v>0</v>
      </c>
      <c r="X391" s="43">
        <v>0</v>
      </c>
      <c r="Y391" s="43">
        <v>113.23</v>
      </c>
      <c r="Z391" s="43">
        <v>0</v>
      </c>
      <c r="AA391" s="43">
        <v>0</v>
      </c>
      <c r="AB391" s="43">
        <v>0</v>
      </c>
      <c r="AC391" s="43">
        <v>0</v>
      </c>
      <c r="AD391" s="43">
        <v>0</v>
      </c>
      <c r="AE391" s="43">
        <v>0</v>
      </c>
      <c r="AF391" s="43">
        <v>0</v>
      </c>
      <c r="AG391" s="43">
        <v>0</v>
      </c>
      <c r="AH391" s="43">
        <v>0</v>
      </c>
      <c r="AI391" s="43">
        <v>-2063</v>
      </c>
      <c r="AJ391" s="43">
        <v>0</v>
      </c>
      <c r="AK391" s="43">
        <v>0</v>
      </c>
      <c r="AL391" s="43">
        <v>0</v>
      </c>
      <c r="AM391" s="43">
        <v>0</v>
      </c>
      <c r="AN391" s="43">
        <v>0</v>
      </c>
      <c r="AO391" s="43">
        <v>0</v>
      </c>
      <c r="AP391" s="43">
        <v>0</v>
      </c>
      <c r="AQ391" s="43">
        <v>0</v>
      </c>
      <c r="AR391" s="43">
        <v>0</v>
      </c>
      <c r="AS391" s="43">
        <v>0</v>
      </c>
      <c r="AT391" s="43">
        <v>0</v>
      </c>
      <c r="AU391" s="43">
        <v>0</v>
      </c>
      <c r="AV391" s="43">
        <v>0</v>
      </c>
      <c r="AW391" s="43">
        <v>0</v>
      </c>
      <c r="AX391" s="43">
        <v>0</v>
      </c>
      <c r="AY391" s="43">
        <v>0</v>
      </c>
      <c r="AZ391" s="43">
        <v>0</v>
      </c>
      <c r="BA391" s="43">
        <v>0</v>
      </c>
      <c r="BB391" s="43">
        <v>0</v>
      </c>
      <c r="BC391" s="43">
        <v>0</v>
      </c>
      <c r="BD391" s="43">
        <v>0</v>
      </c>
      <c r="BE391" s="43">
        <v>0</v>
      </c>
      <c r="BF391" s="43">
        <v>0</v>
      </c>
    </row>
    <row r="392" spans="1:58" ht="13.5" customHeight="1">
      <c r="A392" s="412">
        <f t="shared" si="811"/>
        <v>386</v>
      </c>
      <c r="B392" s="22" t="s">
        <v>259</v>
      </c>
      <c r="C392" s="38">
        <f>SUM(D392:BF392)</f>
        <v>-7628181.4299999997</v>
      </c>
      <c r="D392" s="10">
        <v>0</v>
      </c>
      <c r="E392" s="10">
        <v>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10">
        <v>-7060189</v>
      </c>
      <c r="N392" s="10">
        <v>-246772</v>
      </c>
      <c r="O392" s="10">
        <v>-303011</v>
      </c>
      <c r="P392" s="10">
        <v>0</v>
      </c>
      <c r="Q392" s="10">
        <v>0</v>
      </c>
      <c r="R392" s="10">
        <v>0</v>
      </c>
      <c r="S392" s="10">
        <v>0</v>
      </c>
      <c r="T392" s="10">
        <v>0</v>
      </c>
      <c r="U392" s="10">
        <v>0</v>
      </c>
      <c r="V392" s="10">
        <v>0</v>
      </c>
      <c r="W392" s="10">
        <v>0</v>
      </c>
      <c r="X392" s="10">
        <v>0</v>
      </c>
      <c r="Y392" s="10">
        <v>-2112.4299999999998</v>
      </c>
      <c r="Z392" s="10">
        <v>0</v>
      </c>
      <c r="AA392" s="10">
        <v>0</v>
      </c>
      <c r="AB392" s="10">
        <v>0</v>
      </c>
      <c r="AC392" s="10">
        <v>0</v>
      </c>
      <c r="AD392" s="10">
        <v>0</v>
      </c>
      <c r="AE392" s="10">
        <v>0</v>
      </c>
      <c r="AF392" s="10">
        <v>0</v>
      </c>
      <c r="AG392" s="10">
        <v>0</v>
      </c>
      <c r="AH392" s="10">
        <v>0</v>
      </c>
      <c r="AI392" s="10">
        <f>-6387+-9710</f>
        <v>-16097</v>
      </c>
      <c r="AJ392" s="10">
        <v>0</v>
      </c>
      <c r="AK392" s="10">
        <v>0</v>
      </c>
      <c r="AL392" s="10">
        <v>0</v>
      </c>
      <c r="AM392" s="10">
        <v>0</v>
      </c>
      <c r="AN392" s="10">
        <v>0</v>
      </c>
      <c r="AO392" s="10">
        <v>0</v>
      </c>
      <c r="AP392" s="10">
        <v>0</v>
      </c>
      <c r="AQ392" s="10">
        <v>0</v>
      </c>
      <c r="AR392" s="10">
        <v>0</v>
      </c>
      <c r="AS392" s="10">
        <v>0</v>
      </c>
      <c r="AT392" s="10">
        <v>0</v>
      </c>
      <c r="AU392" s="10">
        <v>0</v>
      </c>
      <c r="AV392" s="10">
        <v>0</v>
      </c>
      <c r="AW392" s="10">
        <v>0</v>
      </c>
      <c r="AX392" s="10">
        <v>0</v>
      </c>
      <c r="AY392" s="10">
        <v>0</v>
      </c>
      <c r="AZ392" s="10">
        <v>0</v>
      </c>
      <c r="BA392" s="10">
        <v>0</v>
      </c>
      <c r="BB392" s="10">
        <v>0</v>
      </c>
      <c r="BC392" s="10">
        <v>0</v>
      </c>
      <c r="BD392" s="10">
        <v>0</v>
      </c>
      <c r="BE392" s="10">
        <v>0</v>
      </c>
      <c r="BF392" s="10">
        <v>0</v>
      </c>
    </row>
    <row r="393" spans="1:58" ht="14.1" customHeight="1">
      <c r="A393" s="412">
        <f t="shared" si="811"/>
        <v>387</v>
      </c>
      <c r="B393" s="22" t="s">
        <v>260</v>
      </c>
      <c r="C393" s="38">
        <f>SUM(D393:BF393)</f>
        <v>-35784</v>
      </c>
      <c r="D393" s="10">
        <v>0</v>
      </c>
      <c r="E393" s="10">
        <v>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0</v>
      </c>
      <c r="T393" s="10">
        <v>0</v>
      </c>
      <c r="U393" s="10">
        <v>0</v>
      </c>
      <c r="V393" s="10">
        <v>0</v>
      </c>
      <c r="W393" s="10">
        <v>0</v>
      </c>
      <c r="X393" s="10">
        <v>-35784</v>
      </c>
      <c r="Y393" s="10">
        <v>0</v>
      </c>
      <c r="Z393" s="10">
        <v>0</v>
      </c>
      <c r="AA393" s="10">
        <v>0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v>0</v>
      </c>
      <c r="AU393" s="10">
        <v>0</v>
      </c>
      <c r="AV393" s="10">
        <v>0</v>
      </c>
      <c r="AW393" s="10">
        <v>0</v>
      </c>
      <c r="AX393" s="10">
        <v>0</v>
      </c>
      <c r="AY393" s="10">
        <v>0</v>
      </c>
      <c r="AZ393" s="10">
        <v>0</v>
      </c>
      <c r="BA393" s="10">
        <v>0</v>
      </c>
      <c r="BB393" s="10">
        <v>0</v>
      </c>
      <c r="BC393" s="10">
        <v>0</v>
      </c>
      <c r="BD393" s="10">
        <v>0</v>
      </c>
      <c r="BE393" s="10">
        <v>0</v>
      </c>
      <c r="BF393" s="10">
        <v>0</v>
      </c>
    </row>
    <row r="394" spans="1:58" ht="14.1" customHeight="1">
      <c r="A394" s="412">
        <f t="shared" si="811"/>
        <v>388</v>
      </c>
      <c r="B394" s="56" t="s">
        <v>261</v>
      </c>
      <c r="C394" s="38">
        <f>SUM(D394:BF394)</f>
        <v>-4324.1399999999994</v>
      </c>
      <c r="D394" s="43">
        <v>0</v>
      </c>
      <c r="E394" s="43">
        <v>0</v>
      </c>
      <c r="F394" s="43">
        <v>0</v>
      </c>
      <c r="G394" s="43">
        <v>0</v>
      </c>
      <c r="H394" s="43">
        <v>0</v>
      </c>
      <c r="I394" s="43">
        <v>0</v>
      </c>
      <c r="J394" s="43">
        <v>0</v>
      </c>
      <c r="K394" s="43">
        <v>0</v>
      </c>
      <c r="L394" s="43">
        <v>0</v>
      </c>
      <c r="M394" s="43">
        <v>0</v>
      </c>
      <c r="N394" s="43">
        <v>0</v>
      </c>
      <c r="O394" s="43">
        <v>0</v>
      </c>
      <c r="P394" s="43">
        <v>0</v>
      </c>
      <c r="Q394" s="43">
        <v>0</v>
      </c>
      <c r="R394" s="43">
        <v>0</v>
      </c>
      <c r="S394" s="43">
        <v>0</v>
      </c>
      <c r="T394" s="43">
        <v>0</v>
      </c>
      <c r="U394" s="43">
        <v>0</v>
      </c>
      <c r="V394" s="43">
        <v>0</v>
      </c>
      <c r="W394" s="43">
        <v>0</v>
      </c>
      <c r="X394" s="43">
        <v>-2925.97</v>
      </c>
      <c r="Y394" s="43">
        <v>-76.17</v>
      </c>
      <c r="Z394" s="43">
        <v>0</v>
      </c>
      <c r="AA394" s="43">
        <v>0</v>
      </c>
      <c r="AB394" s="43">
        <v>0</v>
      </c>
      <c r="AC394" s="43">
        <v>0</v>
      </c>
      <c r="AD394" s="43">
        <v>0</v>
      </c>
      <c r="AE394" s="43">
        <v>0</v>
      </c>
      <c r="AF394" s="43">
        <v>0</v>
      </c>
      <c r="AG394" s="43">
        <v>0</v>
      </c>
      <c r="AH394" s="43">
        <v>0</v>
      </c>
      <c r="AI394" s="43">
        <v>-107</v>
      </c>
      <c r="AJ394" s="43">
        <v>-1215</v>
      </c>
      <c r="AK394" s="43">
        <v>0</v>
      </c>
      <c r="AL394" s="43">
        <v>0</v>
      </c>
      <c r="AM394" s="43">
        <v>0</v>
      </c>
      <c r="AN394" s="43">
        <v>0</v>
      </c>
      <c r="AO394" s="43">
        <v>0</v>
      </c>
      <c r="AP394" s="43">
        <v>0</v>
      </c>
      <c r="AQ394" s="43">
        <v>0</v>
      </c>
      <c r="AR394" s="43">
        <v>0</v>
      </c>
      <c r="AS394" s="43">
        <v>0</v>
      </c>
      <c r="AT394" s="43">
        <v>0</v>
      </c>
      <c r="AU394" s="43">
        <v>0</v>
      </c>
      <c r="AV394" s="43">
        <v>0</v>
      </c>
      <c r="AW394" s="43">
        <v>0</v>
      </c>
      <c r="AX394" s="43">
        <v>0</v>
      </c>
      <c r="AY394" s="43">
        <v>0</v>
      </c>
      <c r="AZ394" s="43">
        <v>0</v>
      </c>
      <c r="BA394" s="43">
        <v>0</v>
      </c>
      <c r="BB394" s="43">
        <v>0</v>
      </c>
      <c r="BC394" s="43">
        <v>0</v>
      </c>
      <c r="BD394" s="43">
        <v>0</v>
      </c>
      <c r="BE394" s="43">
        <v>0</v>
      </c>
      <c r="BF394" s="43">
        <v>0</v>
      </c>
    </row>
    <row r="395" spans="1:58" ht="14.1" customHeight="1">
      <c r="A395" s="412">
        <f t="shared" si="811"/>
        <v>389</v>
      </c>
      <c r="B395" s="20" t="s">
        <v>513</v>
      </c>
      <c r="C395" s="86">
        <f>SUM(C391:C394)</f>
        <v>-7670239.3399999989</v>
      </c>
      <c r="D395" s="86">
        <f>SUM(D391:D394)</f>
        <v>0</v>
      </c>
      <c r="E395" s="86">
        <f>SUM(E391:E394)</f>
        <v>0</v>
      </c>
      <c r="F395" s="86">
        <f t="shared" ref="F395" si="886">SUM(F391:F394)</f>
        <v>0</v>
      </c>
      <c r="G395" s="86">
        <f t="shared" ref="G395" si="887">SUM(G391:G394)</f>
        <v>0</v>
      </c>
      <c r="H395" s="86">
        <f t="shared" ref="H395:BE395" si="888">SUM(H391:H394)</f>
        <v>0</v>
      </c>
      <c r="I395" s="86">
        <f>SUM(I391:I394)</f>
        <v>0</v>
      </c>
      <c r="J395" s="86">
        <f>SUM(J391:J394)</f>
        <v>0</v>
      </c>
      <c r="K395" s="86">
        <f>SUM(K391:K394)</f>
        <v>0</v>
      </c>
      <c r="L395" s="86">
        <f t="shared" ref="L395" si="889">SUM(L391:L394)</f>
        <v>0</v>
      </c>
      <c r="M395" s="86">
        <f t="shared" ref="M395:AB395" si="890">SUM(M391:M394)</f>
        <v>-7060189</v>
      </c>
      <c r="N395" s="86">
        <f t="shared" si="890"/>
        <v>-246772</v>
      </c>
      <c r="O395" s="86">
        <f t="shared" si="890"/>
        <v>-303011</v>
      </c>
      <c r="P395" s="86">
        <f t="shared" si="890"/>
        <v>0</v>
      </c>
      <c r="Q395" s="86">
        <f t="shared" si="890"/>
        <v>0</v>
      </c>
      <c r="R395" s="86">
        <f t="shared" si="890"/>
        <v>0</v>
      </c>
      <c r="S395" s="86">
        <f t="shared" si="890"/>
        <v>0</v>
      </c>
      <c r="T395" s="86">
        <f t="shared" si="890"/>
        <v>0</v>
      </c>
      <c r="U395" s="86">
        <f t="shared" si="890"/>
        <v>0</v>
      </c>
      <c r="V395" s="86">
        <f t="shared" si="890"/>
        <v>0</v>
      </c>
      <c r="W395" s="86">
        <f t="shared" si="890"/>
        <v>0</v>
      </c>
      <c r="X395" s="86">
        <f t="shared" si="890"/>
        <v>-38709.97</v>
      </c>
      <c r="Y395" s="86">
        <f t="shared" si="890"/>
        <v>-2075.37</v>
      </c>
      <c r="Z395" s="86">
        <f t="shared" si="890"/>
        <v>0</v>
      </c>
      <c r="AA395" s="86">
        <f t="shared" si="890"/>
        <v>0</v>
      </c>
      <c r="AB395" s="86">
        <f t="shared" si="890"/>
        <v>0</v>
      </c>
      <c r="AC395" s="86">
        <f t="shared" ref="AC395" si="891">SUM(AC391:AC394)</f>
        <v>0</v>
      </c>
      <c r="AD395" s="86">
        <f>SUM(AD391:AD394)</f>
        <v>0</v>
      </c>
      <c r="AE395" s="86">
        <f>SUM(AE391:AE394)</f>
        <v>0</v>
      </c>
      <c r="AF395" s="86">
        <f t="shared" ref="AF395" si="892">SUM(AF391:AF394)</f>
        <v>0</v>
      </c>
      <c r="AG395" s="86">
        <f t="shared" ref="AG395" si="893">SUM(AG391:AG394)</f>
        <v>0</v>
      </c>
      <c r="AH395" s="86">
        <f>SUM(AH391:AH394)</f>
        <v>0</v>
      </c>
      <c r="AI395" s="86">
        <f>SUM(AI391:AI394)</f>
        <v>-18267</v>
      </c>
      <c r="AJ395" s="86">
        <f t="shared" ref="AJ395" si="894">SUM(AJ391:AJ394)</f>
        <v>-1215</v>
      </c>
      <c r="AK395" s="86">
        <f t="shared" ref="AK395:AU395" si="895">SUM(AK391:AK394)</f>
        <v>0</v>
      </c>
      <c r="AL395" s="86">
        <f t="shared" si="895"/>
        <v>0</v>
      </c>
      <c r="AM395" s="86">
        <f t="shared" si="895"/>
        <v>0</v>
      </c>
      <c r="AN395" s="86">
        <f t="shared" si="895"/>
        <v>0</v>
      </c>
      <c r="AO395" s="86">
        <f t="shared" si="895"/>
        <v>0</v>
      </c>
      <c r="AP395" s="86">
        <f t="shared" si="895"/>
        <v>0</v>
      </c>
      <c r="AQ395" s="86">
        <f t="shared" si="895"/>
        <v>0</v>
      </c>
      <c r="AR395" s="86">
        <f t="shared" si="895"/>
        <v>0</v>
      </c>
      <c r="AS395" s="86">
        <f t="shared" si="895"/>
        <v>0</v>
      </c>
      <c r="AT395" s="86">
        <f t="shared" si="895"/>
        <v>0</v>
      </c>
      <c r="AU395" s="86">
        <f t="shared" si="895"/>
        <v>0</v>
      </c>
      <c r="AV395" s="86">
        <f>SUM(AV391:AV394)</f>
        <v>0</v>
      </c>
      <c r="AW395" s="86">
        <f>SUM(AW391:AW394)</f>
        <v>0</v>
      </c>
      <c r="AX395" s="86">
        <f t="shared" si="888"/>
        <v>0</v>
      </c>
      <c r="AY395" s="86">
        <f t="shared" si="888"/>
        <v>0</v>
      </c>
      <c r="AZ395" s="86">
        <f t="shared" si="888"/>
        <v>0</v>
      </c>
      <c r="BA395" s="86">
        <f t="shared" si="888"/>
        <v>0</v>
      </c>
      <c r="BB395" s="86">
        <f t="shared" si="888"/>
        <v>0</v>
      </c>
      <c r="BC395" s="86">
        <f t="shared" si="888"/>
        <v>0</v>
      </c>
      <c r="BD395" s="86">
        <f t="shared" si="888"/>
        <v>0</v>
      </c>
      <c r="BE395" s="86">
        <f t="shared" si="888"/>
        <v>0</v>
      </c>
      <c r="BF395" s="86">
        <f>SUM(BF391:BF394)</f>
        <v>0</v>
      </c>
    </row>
    <row r="396" spans="1:58" ht="14.1" customHeight="1">
      <c r="A396" s="412">
        <f t="shared" si="811"/>
        <v>390</v>
      </c>
      <c r="B396" s="134"/>
      <c r="C396" s="134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</row>
    <row r="397" spans="1:58" ht="14.1" customHeight="1">
      <c r="A397" s="412">
        <f t="shared" ref="A397:A460" si="896">+A396+1</f>
        <v>391</v>
      </c>
      <c r="B397" s="13" t="s">
        <v>262</v>
      </c>
      <c r="C397" s="1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</row>
    <row r="398" spans="1:58" ht="14.1" customHeight="1">
      <c r="A398" s="412">
        <f t="shared" si="896"/>
        <v>392</v>
      </c>
      <c r="B398" s="22" t="s">
        <v>263</v>
      </c>
      <c r="C398" s="38">
        <f>SUM(D398:BF398)</f>
        <v>0</v>
      </c>
      <c r="D398" s="43">
        <v>0</v>
      </c>
      <c r="E398" s="43">
        <v>0</v>
      </c>
      <c r="F398" s="43">
        <v>0</v>
      </c>
      <c r="G398" s="43">
        <v>0</v>
      </c>
      <c r="H398" s="43">
        <v>0</v>
      </c>
      <c r="I398" s="43">
        <v>0</v>
      </c>
      <c r="J398" s="43">
        <v>0</v>
      </c>
      <c r="K398" s="43">
        <v>0</v>
      </c>
      <c r="L398" s="43">
        <v>0</v>
      </c>
      <c r="M398" s="43">
        <v>0</v>
      </c>
      <c r="N398" s="43">
        <v>0</v>
      </c>
      <c r="O398" s="43">
        <v>0</v>
      </c>
      <c r="P398" s="43">
        <v>0</v>
      </c>
      <c r="Q398" s="43">
        <v>0</v>
      </c>
      <c r="R398" s="43">
        <v>0</v>
      </c>
      <c r="S398" s="43">
        <v>0</v>
      </c>
      <c r="T398" s="43">
        <v>0</v>
      </c>
      <c r="U398" s="43">
        <v>0</v>
      </c>
      <c r="V398" s="43">
        <v>0</v>
      </c>
      <c r="W398" s="43">
        <v>0</v>
      </c>
      <c r="X398" s="43">
        <v>0</v>
      </c>
      <c r="Y398" s="43">
        <v>0</v>
      </c>
      <c r="Z398" s="43">
        <v>0</v>
      </c>
      <c r="AA398" s="43">
        <v>0</v>
      </c>
      <c r="AB398" s="43">
        <v>0</v>
      </c>
      <c r="AC398" s="43">
        <v>0</v>
      </c>
      <c r="AD398" s="43">
        <v>0</v>
      </c>
      <c r="AE398" s="43">
        <v>0</v>
      </c>
      <c r="AF398" s="43">
        <v>0</v>
      </c>
      <c r="AG398" s="43">
        <v>0</v>
      </c>
      <c r="AH398" s="43">
        <v>0</v>
      </c>
      <c r="AI398" s="43">
        <v>0</v>
      </c>
      <c r="AJ398" s="43">
        <v>0</v>
      </c>
      <c r="AK398" s="43">
        <v>0</v>
      </c>
      <c r="AL398" s="43">
        <v>0</v>
      </c>
      <c r="AM398" s="43">
        <v>0</v>
      </c>
      <c r="AN398" s="43">
        <v>0</v>
      </c>
      <c r="AO398" s="43">
        <v>0</v>
      </c>
      <c r="AP398" s="43">
        <v>0</v>
      </c>
      <c r="AQ398" s="43">
        <v>0</v>
      </c>
      <c r="AR398" s="43">
        <v>0</v>
      </c>
      <c r="AS398" s="43">
        <v>0</v>
      </c>
      <c r="AT398" s="43">
        <v>0</v>
      </c>
      <c r="AU398" s="43">
        <v>0</v>
      </c>
      <c r="AV398" s="43">
        <v>0</v>
      </c>
      <c r="AW398" s="43">
        <v>0</v>
      </c>
      <c r="AX398" s="43">
        <v>0</v>
      </c>
      <c r="AY398" s="43">
        <v>0</v>
      </c>
      <c r="AZ398" s="43">
        <v>0</v>
      </c>
      <c r="BA398" s="43">
        <v>0</v>
      </c>
      <c r="BB398" s="43">
        <v>0</v>
      </c>
      <c r="BC398" s="43">
        <v>0</v>
      </c>
      <c r="BD398" s="43">
        <v>0</v>
      </c>
      <c r="BE398" s="43">
        <v>0</v>
      </c>
      <c r="BF398" s="43">
        <v>0</v>
      </c>
    </row>
    <row r="399" spans="1:58" ht="14.1" customHeight="1">
      <c r="A399" s="412">
        <f t="shared" si="896"/>
        <v>393</v>
      </c>
      <c r="B399" s="22" t="s">
        <v>264</v>
      </c>
      <c r="C399" s="38">
        <f>SUM(D399:BF399)</f>
        <v>-4300</v>
      </c>
      <c r="D399" s="10">
        <v>0</v>
      </c>
      <c r="E399" s="10">
        <v>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0</v>
      </c>
      <c r="T399" s="10">
        <v>0</v>
      </c>
      <c r="U399" s="10">
        <v>0</v>
      </c>
      <c r="V399" s="10">
        <v>0</v>
      </c>
      <c r="W399" s="10">
        <v>0</v>
      </c>
      <c r="X399" s="10">
        <v>-4300</v>
      </c>
      <c r="Y399" s="10">
        <v>0</v>
      </c>
      <c r="Z399" s="10">
        <v>0</v>
      </c>
      <c r="AA399" s="10">
        <v>0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v>0</v>
      </c>
      <c r="AU399" s="10">
        <v>0</v>
      </c>
      <c r="AV399" s="10">
        <v>0</v>
      </c>
      <c r="AW399" s="10">
        <v>0</v>
      </c>
      <c r="AX399" s="10">
        <v>0</v>
      </c>
      <c r="AY399" s="10">
        <v>0</v>
      </c>
      <c r="AZ399" s="10">
        <v>0</v>
      </c>
      <c r="BA399" s="10">
        <v>0</v>
      </c>
      <c r="BB399" s="10">
        <v>0</v>
      </c>
      <c r="BC399" s="10">
        <v>0</v>
      </c>
      <c r="BD399" s="10">
        <v>0</v>
      </c>
      <c r="BE399" s="10">
        <v>0</v>
      </c>
      <c r="BF399" s="10">
        <v>0</v>
      </c>
    </row>
    <row r="400" spans="1:58" ht="14.1" customHeight="1">
      <c r="A400" s="412">
        <f t="shared" si="896"/>
        <v>394</v>
      </c>
      <c r="B400" s="22" t="s">
        <v>265</v>
      </c>
      <c r="C400" s="38">
        <f>SUM(D400:BF400)</f>
        <v>-25545.35</v>
      </c>
      <c r="D400" s="10">
        <v>0</v>
      </c>
      <c r="E400" s="10">
        <v>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10">
        <v>0</v>
      </c>
      <c r="N400" s="10">
        <v>0</v>
      </c>
      <c r="O400" s="10">
        <v>0</v>
      </c>
      <c r="P400" s="10">
        <v>0</v>
      </c>
      <c r="Q400" s="10">
        <v>0</v>
      </c>
      <c r="R400" s="10">
        <v>0</v>
      </c>
      <c r="S400" s="10">
        <v>0</v>
      </c>
      <c r="T400" s="10">
        <v>0</v>
      </c>
      <c r="U400" s="10">
        <v>0</v>
      </c>
      <c r="V400" s="10">
        <v>0</v>
      </c>
      <c r="W400" s="10">
        <v>0</v>
      </c>
      <c r="X400" s="10">
        <v>-25545.35</v>
      </c>
      <c r="Y400" s="10">
        <v>0</v>
      </c>
      <c r="Z400" s="10">
        <v>0</v>
      </c>
      <c r="AA400" s="10">
        <v>0</v>
      </c>
      <c r="AB400" s="10">
        <v>0</v>
      </c>
      <c r="AC400" s="10">
        <v>0</v>
      </c>
      <c r="AD400" s="10">
        <v>0</v>
      </c>
      <c r="AE400" s="10">
        <v>0</v>
      </c>
      <c r="AF400" s="10">
        <v>0</v>
      </c>
      <c r="AG400" s="10">
        <v>0</v>
      </c>
      <c r="AH400" s="10">
        <v>0</v>
      </c>
      <c r="AI400" s="10">
        <v>0</v>
      </c>
      <c r="AJ400" s="10">
        <v>0</v>
      </c>
      <c r="AK400" s="10">
        <v>0</v>
      </c>
      <c r="AL400" s="10">
        <v>0</v>
      </c>
      <c r="AM400" s="10">
        <v>0</v>
      </c>
      <c r="AN400" s="10">
        <v>0</v>
      </c>
      <c r="AO400" s="10">
        <v>0</v>
      </c>
      <c r="AP400" s="10">
        <v>0</v>
      </c>
      <c r="AQ400" s="10">
        <v>0</v>
      </c>
      <c r="AR400" s="10">
        <v>0</v>
      </c>
      <c r="AS400" s="10">
        <v>0</v>
      </c>
      <c r="AT400" s="10">
        <v>0</v>
      </c>
      <c r="AU400" s="10">
        <v>0</v>
      </c>
      <c r="AV400" s="10">
        <v>0</v>
      </c>
      <c r="AW400" s="10">
        <v>0</v>
      </c>
      <c r="AX400" s="10">
        <v>0</v>
      </c>
      <c r="AY400" s="10">
        <v>0</v>
      </c>
      <c r="AZ400" s="10">
        <v>0</v>
      </c>
      <c r="BA400" s="10">
        <v>0</v>
      </c>
      <c r="BB400" s="10">
        <v>0</v>
      </c>
      <c r="BC400" s="10">
        <v>0</v>
      </c>
      <c r="BD400" s="10">
        <v>0</v>
      </c>
      <c r="BE400" s="10">
        <v>0</v>
      </c>
      <c r="BF400" s="10">
        <v>0</v>
      </c>
    </row>
    <row r="401" spans="1:58" ht="14.1" customHeight="1">
      <c r="A401" s="412">
        <f t="shared" si="896"/>
        <v>395</v>
      </c>
      <c r="B401" s="56" t="s">
        <v>266</v>
      </c>
      <c r="C401" s="38">
        <f>SUM(D401:BF401)</f>
        <v>0</v>
      </c>
      <c r="D401" s="43">
        <v>0</v>
      </c>
      <c r="E401" s="43">
        <v>0</v>
      </c>
      <c r="F401" s="43">
        <v>0</v>
      </c>
      <c r="G401" s="43">
        <v>0</v>
      </c>
      <c r="H401" s="43">
        <v>0</v>
      </c>
      <c r="I401" s="43">
        <v>0</v>
      </c>
      <c r="J401" s="43">
        <v>0</v>
      </c>
      <c r="K401" s="43">
        <v>0</v>
      </c>
      <c r="L401" s="43">
        <v>0</v>
      </c>
      <c r="M401" s="43">
        <v>0</v>
      </c>
      <c r="N401" s="43">
        <v>0</v>
      </c>
      <c r="O401" s="43">
        <v>0</v>
      </c>
      <c r="P401" s="43">
        <v>0</v>
      </c>
      <c r="Q401" s="43">
        <v>0</v>
      </c>
      <c r="R401" s="43">
        <v>0</v>
      </c>
      <c r="S401" s="43">
        <v>0</v>
      </c>
      <c r="T401" s="43">
        <v>0</v>
      </c>
      <c r="U401" s="43">
        <v>0</v>
      </c>
      <c r="V401" s="43">
        <v>0</v>
      </c>
      <c r="W401" s="43">
        <v>0</v>
      </c>
      <c r="X401" s="43">
        <v>0</v>
      </c>
      <c r="Y401" s="43">
        <v>0</v>
      </c>
      <c r="Z401" s="43">
        <v>0</v>
      </c>
      <c r="AA401" s="43">
        <v>0</v>
      </c>
      <c r="AB401" s="43">
        <v>0</v>
      </c>
      <c r="AC401" s="43">
        <v>0</v>
      </c>
      <c r="AD401" s="43">
        <v>0</v>
      </c>
      <c r="AE401" s="43">
        <v>0</v>
      </c>
      <c r="AF401" s="43">
        <v>0</v>
      </c>
      <c r="AG401" s="43">
        <v>0</v>
      </c>
      <c r="AH401" s="43">
        <v>0</v>
      </c>
      <c r="AI401" s="43">
        <v>0</v>
      </c>
      <c r="AJ401" s="43">
        <v>0</v>
      </c>
      <c r="AK401" s="43">
        <v>0</v>
      </c>
      <c r="AL401" s="43">
        <v>0</v>
      </c>
      <c r="AM401" s="43">
        <v>0</v>
      </c>
      <c r="AN401" s="43">
        <v>0</v>
      </c>
      <c r="AO401" s="43">
        <v>0</v>
      </c>
      <c r="AP401" s="43">
        <v>0</v>
      </c>
      <c r="AQ401" s="43">
        <v>0</v>
      </c>
      <c r="AR401" s="43">
        <v>0</v>
      </c>
      <c r="AS401" s="43">
        <v>0</v>
      </c>
      <c r="AT401" s="43">
        <v>0</v>
      </c>
      <c r="AU401" s="43">
        <v>0</v>
      </c>
      <c r="AV401" s="43">
        <v>0</v>
      </c>
      <c r="AW401" s="43">
        <v>0</v>
      </c>
      <c r="AX401" s="43">
        <v>0</v>
      </c>
      <c r="AY401" s="43">
        <v>0</v>
      </c>
      <c r="AZ401" s="43">
        <v>0</v>
      </c>
      <c r="BA401" s="43">
        <v>0</v>
      </c>
      <c r="BB401" s="43">
        <v>0</v>
      </c>
      <c r="BC401" s="43">
        <v>0</v>
      </c>
      <c r="BD401" s="43">
        <v>0</v>
      </c>
      <c r="BE401" s="43">
        <v>0</v>
      </c>
      <c r="BF401" s="43">
        <v>0</v>
      </c>
    </row>
    <row r="402" spans="1:58" ht="14.1" customHeight="1">
      <c r="A402" s="412">
        <f t="shared" si="896"/>
        <v>396</v>
      </c>
      <c r="B402" s="20" t="s">
        <v>514</v>
      </c>
      <c r="C402" s="86">
        <f>SUM(C397:C401)</f>
        <v>-29845.35</v>
      </c>
      <c r="D402" s="86">
        <f>SUM(D397:D401)</f>
        <v>0</v>
      </c>
      <c r="E402" s="86">
        <f>SUM(E397:E401)</f>
        <v>0</v>
      </c>
      <c r="F402" s="86">
        <f t="shared" ref="F402" si="897">SUM(F397:F401)</f>
        <v>0</v>
      </c>
      <c r="G402" s="86">
        <f t="shared" ref="G402" si="898">SUM(G397:G401)</f>
        <v>0</v>
      </c>
      <c r="H402" s="86">
        <f t="shared" ref="H402:BE402" si="899">SUM(H397:H401)</f>
        <v>0</v>
      </c>
      <c r="I402" s="86">
        <f>SUM(I397:I401)</f>
        <v>0</v>
      </c>
      <c r="J402" s="86">
        <f>SUM(J397:J401)</f>
        <v>0</v>
      </c>
      <c r="K402" s="86">
        <f>SUM(K397:K401)</f>
        <v>0</v>
      </c>
      <c r="L402" s="86">
        <f t="shared" ref="L402" si="900">SUM(L397:L401)</f>
        <v>0</v>
      </c>
      <c r="M402" s="86">
        <f t="shared" ref="M402:AB402" si="901">SUM(M397:M401)</f>
        <v>0</v>
      </c>
      <c r="N402" s="86">
        <f t="shared" si="901"/>
        <v>0</v>
      </c>
      <c r="O402" s="86">
        <f t="shared" si="901"/>
        <v>0</v>
      </c>
      <c r="P402" s="86">
        <f t="shared" si="901"/>
        <v>0</v>
      </c>
      <c r="Q402" s="86">
        <f t="shared" si="901"/>
        <v>0</v>
      </c>
      <c r="R402" s="86">
        <f t="shared" si="901"/>
        <v>0</v>
      </c>
      <c r="S402" s="86">
        <f t="shared" si="901"/>
        <v>0</v>
      </c>
      <c r="T402" s="86">
        <f t="shared" si="901"/>
        <v>0</v>
      </c>
      <c r="U402" s="86">
        <f t="shared" si="901"/>
        <v>0</v>
      </c>
      <c r="V402" s="86">
        <f t="shared" si="901"/>
        <v>0</v>
      </c>
      <c r="W402" s="86">
        <f t="shared" si="901"/>
        <v>0</v>
      </c>
      <c r="X402" s="86">
        <f t="shared" si="901"/>
        <v>-29845.35</v>
      </c>
      <c r="Y402" s="86">
        <f t="shared" si="901"/>
        <v>0</v>
      </c>
      <c r="Z402" s="86">
        <f t="shared" si="901"/>
        <v>0</v>
      </c>
      <c r="AA402" s="86">
        <f t="shared" si="901"/>
        <v>0</v>
      </c>
      <c r="AB402" s="86">
        <f t="shared" si="901"/>
        <v>0</v>
      </c>
      <c r="AC402" s="86">
        <f t="shared" ref="AC402" si="902">SUM(AC397:AC401)</f>
        <v>0</v>
      </c>
      <c r="AD402" s="86">
        <f>SUM(AD397:AD401)</f>
        <v>0</v>
      </c>
      <c r="AE402" s="86">
        <f>SUM(AE397:AE401)</f>
        <v>0</v>
      </c>
      <c r="AF402" s="86">
        <f t="shared" ref="AF402" si="903">SUM(AF397:AF401)</f>
        <v>0</v>
      </c>
      <c r="AG402" s="86">
        <f t="shared" ref="AG402" si="904">SUM(AG397:AG401)</f>
        <v>0</v>
      </c>
      <c r="AH402" s="86">
        <f>SUM(AH397:AH401)</f>
        <v>0</v>
      </c>
      <c r="AI402" s="86">
        <f>SUM(AI397:AI401)</f>
        <v>0</v>
      </c>
      <c r="AJ402" s="86">
        <f t="shared" ref="AJ402" si="905">SUM(AJ397:AJ401)</f>
        <v>0</v>
      </c>
      <c r="AK402" s="86">
        <f t="shared" ref="AK402:AU402" si="906">SUM(AK397:AK401)</f>
        <v>0</v>
      </c>
      <c r="AL402" s="86">
        <f t="shared" si="906"/>
        <v>0</v>
      </c>
      <c r="AM402" s="86">
        <f t="shared" si="906"/>
        <v>0</v>
      </c>
      <c r="AN402" s="86">
        <f t="shared" si="906"/>
        <v>0</v>
      </c>
      <c r="AO402" s="86">
        <f t="shared" si="906"/>
        <v>0</v>
      </c>
      <c r="AP402" s="86">
        <f t="shared" si="906"/>
        <v>0</v>
      </c>
      <c r="AQ402" s="86">
        <f t="shared" si="906"/>
        <v>0</v>
      </c>
      <c r="AR402" s="86">
        <f t="shared" si="906"/>
        <v>0</v>
      </c>
      <c r="AS402" s="86">
        <f t="shared" si="906"/>
        <v>0</v>
      </c>
      <c r="AT402" s="86">
        <f t="shared" si="906"/>
        <v>0</v>
      </c>
      <c r="AU402" s="86">
        <f t="shared" si="906"/>
        <v>0</v>
      </c>
      <c r="AV402" s="86">
        <f>SUM(AV397:AV401)</f>
        <v>0</v>
      </c>
      <c r="AW402" s="86">
        <f>SUM(AW397:AW401)</f>
        <v>0</v>
      </c>
      <c r="AX402" s="86">
        <f t="shared" si="899"/>
        <v>0</v>
      </c>
      <c r="AY402" s="86">
        <f t="shared" si="899"/>
        <v>0</v>
      </c>
      <c r="AZ402" s="86">
        <f t="shared" si="899"/>
        <v>0</v>
      </c>
      <c r="BA402" s="86">
        <f t="shared" si="899"/>
        <v>0</v>
      </c>
      <c r="BB402" s="86">
        <f t="shared" si="899"/>
        <v>0</v>
      </c>
      <c r="BC402" s="86">
        <f t="shared" si="899"/>
        <v>0</v>
      </c>
      <c r="BD402" s="86">
        <f t="shared" si="899"/>
        <v>0</v>
      </c>
      <c r="BE402" s="86">
        <f t="shared" si="899"/>
        <v>0</v>
      </c>
      <c r="BF402" s="86">
        <f>SUM(BF397:BF401)</f>
        <v>0</v>
      </c>
    </row>
    <row r="403" spans="1:58" ht="14.1" customHeight="1">
      <c r="A403" s="412">
        <f t="shared" si="896"/>
        <v>397</v>
      </c>
      <c r="B403" s="134"/>
      <c r="C403" s="134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</row>
    <row r="404" spans="1:58" ht="14.1" customHeight="1">
      <c r="A404" s="412">
        <f t="shared" si="896"/>
        <v>398</v>
      </c>
      <c r="B404" s="13" t="s">
        <v>267</v>
      </c>
      <c r="C404" s="1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</row>
    <row r="405" spans="1:58" ht="14.1" customHeight="1">
      <c r="A405" s="412">
        <f t="shared" si="896"/>
        <v>399</v>
      </c>
      <c r="B405" s="22" t="s">
        <v>268</v>
      </c>
      <c r="C405" s="38">
        <f t="shared" ref="C405:C418" si="907">SUM(D405:BF405)</f>
        <v>-3195828.42</v>
      </c>
      <c r="D405" s="65">
        <v>0</v>
      </c>
      <c r="E405" s="65">
        <v>0</v>
      </c>
      <c r="F405" s="43">
        <v>0</v>
      </c>
      <c r="G405" s="43">
        <v>0</v>
      </c>
      <c r="H405" s="43">
        <v>0</v>
      </c>
      <c r="I405" s="65">
        <v>0</v>
      </c>
      <c r="J405" s="43">
        <v>0</v>
      </c>
      <c r="K405" s="43">
        <v>0</v>
      </c>
      <c r="L405" s="43">
        <v>0</v>
      </c>
      <c r="M405" s="43">
        <v>0</v>
      </c>
      <c r="N405" s="65">
        <v>0</v>
      </c>
      <c r="O405" s="65">
        <v>0</v>
      </c>
      <c r="P405" s="43">
        <v>0</v>
      </c>
      <c r="Q405" s="43">
        <v>0</v>
      </c>
      <c r="R405" s="43">
        <v>0</v>
      </c>
      <c r="S405" s="65">
        <v>0</v>
      </c>
      <c r="T405" s="43">
        <v>0</v>
      </c>
      <c r="U405" s="43">
        <v>0</v>
      </c>
      <c r="V405" s="43">
        <v>0</v>
      </c>
      <c r="W405" s="43">
        <v>0</v>
      </c>
      <c r="X405" s="43">
        <v>0</v>
      </c>
      <c r="Y405" s="43">
        <v>1074.58</v>
      </c>
      <c r="Z405" s="43">
        <v>0</v>
      </c>
      <c r="AA405" s="43">
        <v>0</v>
      </c>
      <c r="AB405" s="43">
        <v>0</v>
      </c>
      <c r="AC405" s="43">
        <v>0</v>
      </c>
      <c r="AD405" s="43">
        <v>0</v>
      </c>
      <c r="AE405" s="43">
        <v>0</v>
      </c>
      <c r="AF405" s="43">
        <v>0</v>
      </c>
      <c r="AG405" s="43">
        <v>0</v>
      </c>
      <c r="AH405" s="43">
        <v>0</v>
      </c>
      <c r="AI405" s="439">
        <f>-43903-3153000</f>
        <v>-3196903</v>
      </c>
      <c r="AJ405" s="65">
        <v>0</v>
      </c>
      <c r="AK405" s="43">
        <v>0</v>
      </c>
      <c r="AL405" s="43">
        <v>0</v>
      </c>
      <c r="AM405" s="43">
        <v>0</v>
      </c>
      <c r="AN405" s="43">
        <v>0</v>
      </c>
      <c r="AO405" s="43">
        <v>0</v>
      </c>
      <c r="AP405" s="43">
        <v>0</v>
      </c>
      <c r="AQ405" s="65">
        <v>0</v>
      </c>
      <c r="AR405" s="43">
        <v>0</v>
      </c>
      <c r="AS405" s="43">
        <v>0</v>
      </c>
      <c r="AT405" s="43">
        <v>0</v>
      </c>
      <c r="AU405" s="43">
        <v>0</v>
      </c>
      <c r="AV405" s="43">
        <v>0</v>
      </c>
      <c r="AW405" s="43">
        <v>0</v>
      </c>
      <c r="AX405" s="43">
        <v>0</v>
      </c>
      <c r="AY405" s="43">
        <v>0</v>
      </c>
      <c r="AZ405" s="43">
        <v>0</v>
      </c>
      <c r="BA405" s="43">
        <v>0</v>
      </c>
      <c r="BB405" s="43">
        <v>0</v>
      </c>
      <c r="BC405" s="43">
        <v>0</v>
      </c>
      <c r="BD405" s="43">
        <v>0</v>
      </c>
      <c r="BE405" s="43">
        <v>0</v>
      </c>
      <c r="BF405" s="43">
        <v>0</v>
      </c>
    </row>
    <row r="406" spans="1:58" ht="14.1" customHeight="1">
      <c r="A406" s="412">
        <f t="shared" si="896"/>
        <v>400</v>
      </c>
      <c r="B406" s="22" t="s">
        <v>269</v>
      </c>
      <c r="C406" s="38">
        <f t="shared" si="907"/>
        <v>1194.4100000000001</v>
      </c>
      <c r="D406" s="65">
        <v>0</v>
      </c>
      <c r="E406" s="65">
        <v>0</v>
      </c>
      <c r="F406" s="43">
        <v>0</v>
      </c>
      <c r="G406" s="43">
        <v>0</v>
      </c>
      <c r="H406" s="43">
        <v>0</v>
      </c>
      <c r="I406" s="65">
        <v>0</v>
      </c>
      <c r="J406" s="43">
        <v>0</v>
      </c>
      <c r="K406" s="43">
        <v>0</v>
      </c>
      <c r="L406" s="43">
        <v>0</v>
      </c>
      <c r="M406" s="43">
        <v>0</v>
      </c>
      <c r="N406" s="65">
        <v>0</v>
      </c>
      <c r="O406" s="65">
        <v>0</v>
      </c>
      <c r="P406" s="43">
        <v>0</v>
      </c>
      <c r="Q406" s="43">
        <v>0</v>
      </c>
      <c r="R406" s="43">
        <v>0</v>
      </c>
      <c r="S406" s="65">
        <v>0</v>
      </c>
      <c r="T406" s="43">
        <v>0</v>
      </c>
      <c r="U406" s="43">
        <v>0</v>
      </c>
      <c r="V406" s="43">
        <v>0</v>
      </c>
      <c r="W406" s="43">
        <v>0</v>
      </c>
      <c r="X406" s="43">
        <v>0</v>
      </c>
      <c r="Y406" s="43">
        <v>1165.4100000000001</v>
      </c>
      <c r="Z406" s="43">
        <v>0</v>
      </c>
      <c r="AA406" s="43">
        <v>0</v>
      </c>
      <c r="AB406" s="43">
        <v>0</v>
      </c>
      <c r="AC406" s="43">
        <v>0</v>
      </c>
      <c r="AD406" s="43">
        <v>0</v>
      </c>
      <c r="AE406" s="43">
        <v>0</v>
      </c>
      <c r="AF406" s="43">
        <v>0</v>
      </c>
      <c r="AG406" s="43">
        <v>0</v>
      </c>
      <c r="AH406" s="43">
        <v>0</v>
      </c>
      <c r="AI406" s="43">
        <v>29</v>
      </c>
      <c r="AJ406" s="65">
        <v>0</v>
      </c>
      <c r="AK406" s="43">
        <v>0</v>
      </c>
      <c r="AL406" s="43">
        <v>0</v>
      </c>
      <c r="AM406" s="43">
        <v>0</v>
      </c>
      <c r="AN406" s="43">
        <v>0</v>
      </c>
      <c r="AO406" s="43">
        <v>0</v>
      </c>
      <c r="AP406" s="43">
        <v>0</v>
      </c>
      <c r="AQ406" s="65">
        <v>0</v>
      </c>
      <c r="AR406" s="43">
        <v>0</v>
      </c>
      <c r="AS406" s="43">
        <v>0</v>
      </c>
      <c r="AT406" s="43">
        <v>0</v>
      </c>
      <c r="AU406" s="43">
        <v>0</v>
      </c>
      <c r="AV406" s="43">
        <v>0</v>
      </c>
      <c r="AW406" s="43">
        <v>0</v>
      </c>
      <c r="AX406" s="43">
        <v>0</v>
      </c>
      <c r="AY406" s="43">
        <v>0</v>
      </c>
      <c r="AZ406" s="43">
        <v>0</v>
      </c>
      <c r="BA406" s="43">
        <v>0</v>
      </c>
      <c r="BB406" s="43">
        <v>0</v>
      </c>
      <c r="BC406" s="43">
        <v>0</v>
      </c>
      <c r="BD406" s="43">
        <v>0</v>
      </c>
      <c r="BE406" s="43">
        <v>0</v>
      </c>
      <c r="BF406" s="43">
        <v>0</v>
      </c>
    </row>
    <row r="407" spans="1:58" ht="14.1" customHeight="1">
      <c r="A407" s="412">
        <f t="shared" si="896"/>
        <v>401</v>
      </c>
      <c r="B407" s="22" t="s">
        <v>270</v>
      </c>
      <c r="C407" s="38">
        <f t="shared" si="907"/>
        <v>15697</v>
      </c>
      <c r="D407" s="65">
        <v>0</v>
      </c>
      <c r="E407" s="65">
        <v>0</v>
      </c>
      <c r="F407" s="43">
        <v>0</v>
      </c>
      <c r="G407" s="43">
        <v>0</v>
      </c>
      <c r="H407" s="43">
        <v>0</v>
      </c>
      <c r="I407" s="65">
        <v>0</v>
      </c>
      <c r="J407" s="43">
        <v>0</v>
      </c>
      <c r="K407" s="43">
        <v>0</v>
      </c>
      <c r="L407" s="43">
        <v>0</v>
      </c>
      <c r="M407" s="43">
        <v>0</v>
      </c>
      <c r="N407" s="65">
        <v>0</v>
      </c>
      <c r="O407" s="65">
        <v>0</v>
      </c>
      <c r="P407" s="43">
        <v>0</v>
      </c>
      <c r="Q407" s="43">
        <v>0</v>
      </c>
      <c r="R407" s="43">
        <v>0</v>
      </c>
      <c r="S407" s="65">
        <v>0</v>
      </c>
      <c r="T407" s="43">
        <v>0</v>
      </c>
      <c r="U407" s="43">
        <v>0</v>
      </c>
      <c r="V407" s="43">
        <v>0</v>
      </c>
      <c r="W407" s="43">
        <v>0</v>
      </c>
      <c r="X407" s="43">
        <v>0</v>
      </c>
      <c r="Y407" s="43">
        <v>0</v>
      </c>
      <c r="Z407" s="43">
        <v>0</v>
      </c>
      <c r="AA407" s="43">
        <v>0</v>
      </c>
      <c r="AB407" s="43">
        <v>0</v>
      </c>
      <c r="AC407" s="43">
        <v>0</v>
      </c>
      <c r="AD407" s="43">
        <v>0</v>
      </c>
      <c r="AE407" s="43">
        <v>0</v>
      </c>
      <c r="AF407" s="43">
        <v>0</v>
      </c>
      <c r="AG407" s="43">
        <v>0</v>
      </c>
      <c r="AH407" s="43">
        <v>0</v>
      </c>
      <c r="AI407" s="43">
        <v>15697</v>
      </c>
      <c r="AJ407" s="65">
        <v>0</v>
      </c>
      <c r="AK407" s="43">
        <v>0</v>
      </c>
      <c r="AL407" s="43">
        <v>0</v>
      </c>
      <c r="AM407" s="43">
        <v>0</v>
      </c>
      <c r="AN407" s="43">
        <v>0</v>
      </c>
      <c r="AO407" s="43">
        <v>0</v>
      </c>
      <c r="AP407" s="43">
        <v>0</v>
      </c>
      <c r="AQ407" s="65">
        <v>0</v>
      </c>
      <c r="AR407" s="43">
        <v>0</v>
      </c>
      <c r="AS407" s="43">
        <v>0</v>
      </c>
      <c r="AT407" s="43">
        <v>0</v>
      </c>
      <c r="AU407" s="43">
        <v>0</v>
      </c>
      <c r="AV407" s="43">
        <v>0</v>
      </c>
      <c r="AW407" s="43">
        <v>0</v>
      </c>
      <c r="AX407" s="43">
        <v>0</v>
      </c>
      <c r="AY407" s="43">
        <v>0</v>
      </c>
      <c r="AZ407" s="43">
        <v>0</v>
      </c>
      <c r="BA407" s="43">
        <v>0</v>
      </c>
      <c r="BB407" s="43">
        <v>0</v>
      </c>
      <c r="BC407" s="43">
        <v>0</v>
      </c>
      <c r="BD407" s="43">
        <v>0</v>
      </c>
      <c r="BE407" s="43">
        <v>0</v>
      </c>
      <c r="BF407" s="43">
        <v>0</v>
      </c>
    </row>
    <row r="408" spans="1:58" s="21" customFormat="1" ht="14.1" customHeight="1">
      <c r="A408" s="412">
        <f t="shared" si="896"/>
        <v>402</v>
      </c>
      <c r="B408" s="22" t="s">
        <v>271</v>
      </c>
      <c r="C408" s="38">
        <f t="shared" si="907"/>
        <v>0</v>
      </c>
      <c r="D408" s="38">
        <v>0</v>
      </c>
      <c r="E408" s="38">
        <v>0</v>
      </c>
      <c r="F408" s="10">
        <v>0</v>
      </c>
      <c r="G408" s="10">
        <v>0</v>
      </c>
      <c r="H408" s="10">
        <v>0</v>
      </c>
      <c r="I408" s="38">
        <v>0</v>
      </c>
      <c r="J408" s="10">
        <v>0</v>
      </c>
      <c r="K408" s="10">
        <v>0</v>
      </c>
      <c r="L408" s="10">
        <v>0</v>
      </c>
      <c r="M408" s="10">
        <v>0</v>
      </c>
      <c r="N408" s="38">
        <v>0</v>
      </c>
      <c r="O408" s="38">
        <v>0</v>
      </c>
      <c r="P408" s="10">
        <v>0</v>
      </c>
      <c r="Q408" s="10">
        <v>0</v>
      </c>
      <c r="R408" s="10">
        <v>0</v>
      </c>
      <c r="S408" s="38">
        <v>0</v>
      </c>
      <c r="T408" s="10">
        <v>0</v>
      </c>
      <c r="U408" s="10">
        <v>0</v>
      </c>
      <c r="V408" s="10">
        <v>0</v>
      </c>
      <c r="W408" s="10">
        <v>0</v>
      </c>
      <c r="X408" s="10">
        <v>0</v>
      </c>
      <c r="Y408" s="10">
        <v>0</v>
      </c>
      <c r="Z408" s="10">
        <v>0</v>
      </c>
      <c r="AA408" s="10">
        <v>0</v>
      </c>
      <c r="AB408" s="10">
        <v>0</v>
      </c>
      <c r="AC408" s="10">
        <v>0</v>
      </c>
      <c r="AD408" s="10">
        <v>0</v>
      </c>
      <c r="AE408" s="10">
        <v>0</v>
      </c>
      <c r="AF408" s="10">
        <v>0</v>
      </c>
      <c r="AG408" s="10">
        <v>0</v>
      </c>
      <c r="AH408" s="10">
        <v>0</v>
      </c>
      <c r="AI408" s="43">
        <v>0</v>
      </c>
      <c r="AJ408" s="38">
        <v>0</v>
      </c>
      <c r="AK408" s="10">
        <v>0</v>
      </c>
      <c r="AL408" s="10">
        <v>0</v>
      </c>
      <c r="AM408" s="10">
        <v>0</v>
      </c>
      <c r="AN408" s="10">
        <v>0</v>
      </c>
      <c r="AO408" s="10">
        <v>0</v>
      </c>
      <c r="AP408" s="10">
        <v>0</v>
      </c>
      <c r="AQ408" s="38">
        <v>0</v>
      </c>
      <c r="AR408" s="10">
        <v>0</v>
      </c>
      <c r="AS408" s="10">
        <v>0</v>
      </c>
      <c r="AT408" s="10">
        <v>0</v>
      </c>
      <c r="AU408" s="10">
        <v>0</v>
      </c>
      <c r="AV408" s="10">
        <v>0</v>
      </c>
      <c r="AW408" s="10">
        <v>0</v>
      </c>
      <c r="AX408" s="10">
        <v>0</v>
      </c>
      <c r="AY408" s="10">
        <v>0</v>
      </c>
      <c r="AZ408" s="10">
        <v>0</v>
      </c>
      <c r="BA408" s="10">
        <v>0</v>
      </c>
      <c r="BB408" s="10">
        <v>0</v>
      </c>
      <c r="BC408" s="10">
        <v>0</v>
      </c>
      <c r="BD408" s="10">
        <v>0</v>
      </c>
      <c r="BE408" s="10">
        <v>0</v>
      </c>
      <c r="BF408" s="10">
        <v>0</v>
      </c>
    </row>
    <row r="409" spans="1:58" s="21" customFormat="1" ht="14.1" customHeight="1">
      <c r="A409" s="412">
        <f t="shared" si="896"/>
        <v>403</v>
      </c>
      <c r="B409" s="22" t="s">
        <v>272</v>
      </c>
      <c r="C409" s="38">
        <f t="shared" si="907"/>
        <v>0</v>
      </c>
      <c r="D409" s="38">
        <v>0</v>
      </c>
      <c r="E409" s="38">
        <v>0</v>
      </c>
      <c r="F409" s="10">
        <v>0</v>
      </c>
      <c r="G409" s="10">
        <v>0</v>
      </c>
      <c r="H409" s="10">
        <v>0</v>
      </c>
      <c r="I409" s="38">
        <v>0</v>
      </c>
      <c r="J409" s="10">
        <v>0</v>
      </c>
      <c r="K409" s="10">
        <v>0</v>
      </c>
      <c r="L409" s="10">
        <v>0</v>
      </c>
      <c r="M409" s="10">
        <v>0</v>
      </c>
      <c r="N409" s="38">
        <v>0</v>
      </c>
      <c r="O409" s="38">
        <v>0</v>
      </c>
      <c r="P409" s="10">
        <v>0</v>
      </c>
      <c r="Q409" s="10">
        <v>0</v>
      </c>
      <c r="R409" s="10">
        <v>0</v>
      </c>
      <c r="S409" s="38">
        <v>0</v>
      </c>
      <c r="T409" s="10">
        <v>0</v>
      </c>
      <c r="U409" s="10">
        <v>0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0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43">
        <v>0</v>
      </c>
      <c r="AJ409" s="38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38">
        <v>0</v>
      </c>
      <c r="AR409" s="10">
        <v>0</v>
      </c>
      <c r="AS409" s="10">
        <v>0</v>
      </c>
      <c r="AT409" s="10">
        <v>0</v>
      </c>
      <c r="AU409" s="10">
        <v>0</v>
      </c>
      <c r="AV409" s="10">
        <v>0</v>
      </c>
      <c r="AW409" s="10">
        <v>0</v>
      </c>
      <c r="AX409" s="10">
        <v>0</v>
      </c>
      <c r="AY409" s="10">
        <v>0</v>
      </c>
      <c r="AZ409" s="10">
        <v>0</v>
      </c>
      <c r="BA409" s="10">
        <v>0</v>
      </c>
      <c r="BB409" s="10">
        <v>0</v>
      </c>
      <c r="BC409" s="10">
        <v>0</v>
      </c>
      <c r="BD409" s="10">
        <v>0</v>
      </c>
      <c r="BE409" s="10">
        <v>0</v>
      </c>
      <c r="BF409" s="10">
        <v>0</v>
      </c>
    </row>
    <row r="410" spans="1:58" s="21" customFormat="1" ht="14.1" customHeight="1">
      <c r="A410" s="412">
        <f t="shared" si="896"/>
        <v>404</v>
      </c>
      <c r="B410" s="22" t="s">
        <v>273</v>
      </c>
      <c r="C410" s="38">
        <f t="shared" si="907"/>
        <v>-307.98</v>
      </c>
      <c r="D410" s="65">
        <v>0</v>
      </c>
      <c r="E410" s="65">
        <v>0</v>
      </c>
      <c r="F410" s="10">
        <v>0</v>
      </c>
      <c r="G410" s="10">
        <v>0</v>
      </c>
      <c r="H410" s="10">
        <v>0</v>
      </c>
      <c r="I410" s="65">
        <v>0</v>
      </c>
      <c r="J410" s="10">
        <v>0</v>
      </c>
      <c r="K410" s="10">
        <v>0</v>
      </c>
      <c r="L410" s="10">
        <v>0</v>
      </c>
      <c r="M410" s="10">
        <v>0</v>
      </c>
      <c r="N410" s="65">
        <v>0</v>
      </c>
      <c r="O410" s="65">
        <v>0</v>
      </c>
      <c r="P410" s="10">
        <v>0</v>
      </c>
      <c r="Q410" s="10">
        <v>0</v>
      </c>
      <c r="R410" s="10">
        <v>0</v>
      </c>
      <c r="S410" s="65">
        <v>0</v>
      </c>
      <c r="T410" s="10">
        <v>0</v>
      </c>
      <c r="U410" s="10">
        <v>0</v>
      </c>
      <c r="V410" s="10">
        <v>0</v>
      </c>
      <c r="W410" s="10">
        <v>0</v>
      </c>
      <c r="X410" s="10">
        <v>0</v>
      </c>
      <c r="Y410" s="10">
        <v>-137.97999999999999</v>
      </c>
      <c r="Z410" s="10">
        <v>0</v>
      </c>
      <c r="AA410" s="10">
        <v>0</v>
      </c>
      <c r="AB410" s="10">
        <v>0</v>
      </c>
      <c r="AC410" s="10">
        <v>0</v>
      </c>
      <c r="AD410" s="10">
        <v>0</v>
      </c>
      <c r="AE410" s="10">
        <v>0</v>
      </c>
      <c r="AF410" s="10">
        <v>0</v>
      </c>
      <c r="AG410" s="10">
        <v>0</v>
      </c>
      <c r="AH410" s="10">
        <v>0</v>
      </c>
      <c r="AI410" s="43">
        <v>-170</v>
      </c>
      <c r="AJ410" s="65">
        <v>0</v>
      </c>
      <c r="AK410" s="10">
        <v>0</v>
      </c>
      <c r="AL410" s="10">
        <v>0</v>
      </c>
      <c r="AM410" s="10">
        <v>0</v>
      </c>
      <c r="AN410" s="10">
        <v>0</v>
      </c>
      <c r="AO410" s="10">
        <v>0</v>
      </c>
      <c r="AP410" s="10">
        <v>0</v>
      </c>
      <c r="AQ410" s="65">
        <v>0</v>
      </c>
      <c r="AR410" s="10">
        <v>0</v>
      </c>
      <c r="AS410" s="10">
        <v>0</v>
      </c>
      <c r="AT410" s="10">
        <v>0</v>
      </c>
      <c r="AU410" s="10">
        <v>0</v>
      </c>
      <c r="AV410" s="10">
        <v>0</v>
      </c>
      <c r="AW410" s="10">
        <v>0</v>
      </c>
      <c r="AX410" s="10">
        <v>0</v>
      </c>
      <c r="AY410" s="10">
        <v>0</v>
      </c>
      <c r="AZ410" s="10">
        <v>0</v>
      </c>
      <c r="BA410" s="10">
        <v>0</v>
      </c>
      <c r="BB410" s="10">
        <v>0</v>
      </c>
      <c r="BC410" s="10">
        <v>0</v>
      </c>
      <c r="BD410" s="10">
        <v>0</v>
      </c>
      <c r="BE410" s="10">
        <v>0</v>
      </c>
      <c r="BF410" s="10">
        <v>0</v>
      </c>
    </row>
    <row r="411" spans="1:58" s="21" customFormat="1" ht="14.1" customHeight="1">
      <c r="A411" s="412">
        <f t="shared" si="896"/>
        <v>405</v>
      </c>
      <c r="B411" s="22" t="s">
        <v>274</v>
      </c>
      <c r="C411" s="38">
        <f t="shared" si="907"/>
        <v>532958.27</v>
      </c>
      <c r="D411" s="65">
        <v>0</v>
      </c>
      <c r="E411" s="65">
        <v>0</v>
      </c>
      <c r="F411" s="10">
        <v>0</v>
      </c>
      <c r="G411" s="10">
        <v>0</v>
      </c>
      <c r="H411" s="10">
        <v>0</v>
      </c>
      <c r="I411" s="65">
        <v>0</v>
      </c>
      <c r="J411" s="10">
        <v>0</v>
      </c>
      <c r="K411" s="10">
        <v>0</v>
      </c>
      <c r="L411" s="10">
        <v>0</v>
      </c>
      <c r="M411" s="10">
        <v>0</v>
      </c>
      <c r="N411" s="65">
        <v>0</v>
      </c>
      <c r="O411" s="65">
        <v>0</v>
      </c>
      <c r="P411" s="10">
        <v>0</v>
      </c>
      <c r="Q411" s="10">
        <v>0</v>
      </c>
      <c r="R411" s="10">
        <v>0</v>
      </c>
      <c r="S411" s="65">
        <v>0</v>
      </c>
      <c r="T411" s="10">
        <v>0</v>
      </c>
      <c r="U411" s="10">
        <v>0</v>
      </c>
      <c r="V411" s="10">
        <v>0</v>
      </c>
      <c r="W411" s="10">
        <v>0</v>
      </c>
      <c r="X411" s="10">
        <v>0</v>
      </c>
      <c r="Y411" s="10">
        <v>-20.47</v>
      </c>
      <c r="Z411" s="10">
        <v>148679</v>
      </c>
      <c r="AA411" s="10">
        <v>429241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43">
        <v>-32117</v>
      </c>
      <c r="AJ411" s="65">
        <v>-12824.26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65">
        <v>0</v>
      </c>
      <c r="AR411" s="10">
        <v>0</v>
      </c>
      <c r="AS411" s="10">
        <v>0</v>
      </c>
      <c r="AT411" s="10">
        <v>0</v>
      </c>
      <c r="AU411" s="10">
        <v>0</v>
      </c>
      <c r="AV411" s="10">
        <v>0</v>
      </c>
      <c r="AW411" s="10">
        <v>0</v>
      </c>
      <c r="AX411" s="10">
        <v>0</v>
      </c>
      <c r="AY411" s="10">
        <v>0</v>
      </c>
      <c r="AZ411" s="10">
        <v>0</v>
      </c>
      <c r="BA411" s="10">
        <v>0</v>
      </c>
      <c r="BB411" s="10">
        <v>0</v>
      </c>
      <c r="BC411" s="10">
        <v>0</v>
      </c>
      <c r="BD411" s="10">
        <v>0</v>
      </c>
      <c r="BE411" s="10">
        <v>0</v>
      </c>
      <c r="BF411" s="10">
        <v>0</v>
      </c>
    </row>
    <row r="412" spans="1:58" ht="14.1" customHeight="1">
      <c r="A412" s="412">
        <f t="shared" si="896"/>
        <v>406</v>
      </c>
      <c r="B412" s="89" t="s">
        <v>275</v>
      </c>
      <c r="C412" s="38">
        <f t="shared" si="907"/>
        <v>0</v>
      </c>
      <c r="D412" s="65">
        <v>0</v>
      </c>
      <c r="E412" s="65">
        <v>0</v>
      </c>
      <c r="F412" s="10">
        <v>0</v>
      </c>
      <c r="G412" s="10">
        <v>0</v>
      </c>
      <c r="H412" s="10">
        <v>0</v>
      </c>
      <c r="I412" s="65">
        <v>0</v>
      </c>
      <c r="J412" s="10">
        <v>0</v>
      </c>
      <c r="K412" s="10">
        <v>0</v>
      </c>
      <c r="L412" s="10">
        <v>0</v>
      </c>
      <c r="M412" s="10">
        <v>0</v>
      </c>
      <c r="N412" s="65">
        <v>0</v>
      </c>
      <c r="O412" s="65">
        <v>0</v>
      </c>
      <c r="P412" s="10">
        <v>0</v>
      </c>
      <c r="Q412" s="10">
        <v>0</v>
      </c>
      <c r="R412" s="10">
        <v>0</v>
      </c>
      <c r="S412" s="65">
        <v>0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0">
        <v>0</v>
      </c>
      <c r="Z412" s="10">
        <v>0</v>
      </c>
      <c r="AA412" s="10">
        <v>0</v>
      </c>
      <c r="AB412" s="10">
        <v>0</v>
      </c>
      <c r="AC412" s="10">
        <v>0</v>
      </c>
      <c r="AD412" s="10">
        <v>0</v>
      </c>
      <c r="AE412" s="10">
        <v>0</v>
      </c>
      <c r="AF412" s="10">
        <v>0</v>
      </c>
      <c r="AG412" s="10">
        <v>0</v>
      </c>
      <c r="AH412" s="10">
        <v>0</v>
      </c>
      <c r="AI412" s="43">
        <v>0</v>
      </c>
      <c r="AJ412" s="65">
        <v>0</v>
      </c>
      <c r="AK412" s="10">
        <v>0</v>
      </c>
      <c r="AL412" s="10">
        <v>0</v>
      </c>
      <c r="AM412" s="10">
        <v>0</v>
      </c>
      <c r="AN412" s="10">
        <v>0</v>
      </c>
      <c r="AO412" s="10">
        <v>0</v>
      </c>
      <c r="AP412" s="10">
        <v>0</v>
      </c>
      <c r="AQ412" s="65">
        <v>0</v>
      </c>
      <c r="AR412" s="10">
        <v>0</v>
      </c>
      <c r="AS412" s="10">
        <v>0</v>
      </c>
      <c r="AT412" s="10">
        <v>0</v>
      </c>
      <c r="AU412" s="10">
        <v>0</v>
      </c>
      <c r="AV412" s="10">
        <v>0</v>
      </c>
      <c r="AW412" s="10">
        <v>0</v>
      </c>
      <c r="AX412" s="10">
        <v>0</v>
      </c>
      <c r="AY412" s="10">
        <v>0</v>
      </c>
      <c r="AZ412" s="10">
        <v>0</v>
      </c>
      <c r="BA412" s="10">
        <v>0</v>
      </c>
      <c r="BB412" s="10">
        <v>0</v>
      </c>
      <c r="BC412" s="10">
        <v>0</v>
      </c>
      <c r="BD412" s="10">
        <v>0</v>
      </c>
      <c r="BE412" s="10">
        <v>0</v>
      </c>
      <c r="BF412" s="10">
        <v>0</v>
      </c>
    </row>
    <row r="413" spans="1:58" ht="13.5" customHeight="1">
      <c r="A413" s="412">
        <f t="shared" si="896"/>
        <v>407</v>
      </c>
      <c r="B413" s="22" t="s">
        <v>276</v>
      </c>
      <c r="C413" s="38">
        <f t="shared" si="907"/>
        <v>0</v>
      </c>
      <c r="D413" s="38">
        <v>0</v>
      </c>
      <c r="E413" s="38">
        <v>0</v>
      </c>
      <c r="F413" s="10">
        <v>0</v>
      </c>
      <c r="G413" s="10">
        <v>0</v>
      </c>
      <c r="H413" s="10">
        <v>0</v>
      </c>
      <c r="I413" s="38">
        <v>0</v>
      </c>
      <c r="J413" s="10">
        <v>0</v>
      </c>
      <c r="K413" s="10">
        <v>0</v>
      </c>
      <c r="L413" s="10">
        <v>0</v>
      </c>
      <c r="M413" s="10">
        <v>0</v>
      </c>
      <c r="N413" s="38">
        <v>0</v>
      </c>
      <c r="O413" s="38">
        <v>0</v>
      </c>
      <c r="P413" s="10">
        <v>0</v>
      </c>
      <c r="Q413" s="10">
        <v>0</v>
      </c>
      <c r="R413" s="10">
        <v>0</v>
      </c>
      <c r="S413" s="38">
        <v>0</v>
      </c>
      <c r="T413" s="10">
        <v>0</v>
      </c>
      <c r="U413" s="10">
        <v>0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0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43">
        <v>0</v>
      </c>
      <c r="AJ413" s="38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38">
        <v>0</v>
      </c>
      <c r="AR413" s="10">
        <v>0</v>
      </c>
      <c r="AS413" s="10">
        <v>0</v>
      </c>
      <c r="AT413" s="10">
        <v>0</v>
      </c>
      <c r="AU413" s="10">
        <v>0</v>
      </c>
      <c r="AV413" s="10">
        <v>0</v>
      </c>
      <c r="AW413" s="10">
        <v>0</v>
      </c>
      <c r="AX413" s="10">
        <v>0</v>
      </c>
      <c r="AY413" s="10">
        <v>0</v>
      </c>
      <c r="AZ413" s="10">
        <v>0</v>
      </c>
      <c r="BA413" s="10">
        <v>0</v>
      </c>
      <c r="BB413" s="10">
        <v>0</v>
      </c>
      <c r="BC413" s="10">
        <v>0</v>
      </c>
      <c r="BD413" s="10">
        <v>0</v>
      </c>
      <c r="BE413" s="10">
        <v>0</v>
      </c>
      <c r="BF413" s="10">
        <v>0</v>
      </c>
    </row>
    <row r="414" spans="1:58" ht="14.1" customHeight="1">
      <c r="A414" s="412">
        <f t="shared" si="896"/>
        <v>408</v>
      </c>
      <c r="B414" s="22" t="s">
        <v>277</v>
      </c>
      <c r="C414" s="38">
        <f t="shared" si="907"/>
        <v>0</v>
      </c>
      <c r="D414" s="38">
        <v>0</v>
      </c>
      <c r="E414" s="38">
        <v>0</v>
      </c>
      <c r="F414" s="10">
        <v>0</v>
      </c>
      <c r="G414" s="10">
        <v>0</v>
      </c>
      <c r="H414" s="10">
        <v>0</v>
      </c>
      <c r="I414" s="38">
        <v>0</v>
      </c>
      <c r="J414" s="10">
        <v>0</v>
      </c>
      <c r="K414" s="10">
        <v>0</v>
      </c>
      <c r="L414" s="10">
        <v>0</v>
      </c>
      <c r="M414" s="10">
        <v>0</v>
      </c>
      <c r="N414" s="38">
        <v>0</v>
      </c>
      <c r="O414" s="38">
        <v>0</v>
      </c>
      <c r="P414" s="10">
        <v>0</v>
      </c>
      <c r="Q414" s="10">
        <v>0</v>
      </c>
      <c r="R414" s="10">
        <v>0</v>
      </c>
      <c r="S414" s="38">
        <v>0</v>
      </c>
      <c r="T414" s="10">
        <v>0</v>
      </c>
      <c r="U414" s="10">
        <v>0</v>
      </c>
      <c r="V414" s="10">
        <v>0</v>
      </c>
      <c r="W414" s="10">
        <v>0</v>
      </c>
      <c r="X414" s="10">
        <v>0</v>
      </c>
      <c r="Y414" s="10">
        <v>0</v>
      </c>
      <c r="Z414" s="10">
        <v>0</v>
      </c>
      <c r="AA414" s="10">
        <v>0</v>
      </c>
      <c r="AB414" s="10">
        <v>0</v>
      </c>
      <c r="AC414" s="10">
        <v>0</v>
      </c>
      <c r="AD414" s="10">
        <v>0</v>
      </c>
      <c r="AE414" s="10">
        <v>0</v>
      </c>
      <c r="AF414" s="10">
        <v>0</v>
      </c>
      <c r="AG414" s="10">
        <v>0</v>
      </c>
      <c r="AH414" s="10">
        <v>0</v>
      </c>
      <c r="AI414" s="43">
        <v>0</v>
      </c>
      <c r="AJ414" s="38">
        <v>0</v>
      </c>
      <c r="AK414" s="10">
        <v>0</v>
      </c>
      <c r="AL414" s="10">
        <v>0</v>
      </c>
      <c r="AM414" s="10">
        <v>0</v>
      </c>
      <c r="AN414" s="10">
        <v>0</v>
      </c>
      <c r="AO414" s="10">
        <v>0</v>
      </c>
      <c r="AP414" s="10">
        <v>0</v>
      </c>
      <c r="AQ414" s="38">
        <v>0</v>
      </c>
      <c r="AR414" s="10">
        <v>0</v>
      </c>
      <c r="AS414" s="10">
        <v>0</v>
      </c>
      <c r="AT414" s="10">
        <v>0</v>
      </c>
      <c r="AU414" s="10">
        <v>0</v>
      </c>
      <c r="AV414" s="10">
        <v>0</v>
      </c>
      <c r="AW414" s="10">
        <v>0</v>
      </c>
      <c r="AX414" s="10">
        <v>0</v>
      </c>
      <c r="AY414" s="10">
        <v>0</v>
      </c>
      <c r="AZ414" s="10">
        <v>0</v>
      </c>
      <c r="BA414" s="10">
        <v>0</v>
      </c>
      <c r="BB414" s="10">
        <v>0</v>
      </c>
      <c r="BC414" s="10">
        <v>0</v>
      </c>
      <c r="BD414" s="10">
        <v>0</v>
      </c>
      <c r="BE414" s="10">
        <v>0</v>
      </c>
      <c r="BF414" s="10">
        <v>0</v>
      </c>
    </row>
    <row r="415" spans="1:58" ht="14.1" customHeight="1">
      <c r="A415" s="412">
        <f t="shared" si="896"/>
        <v>409</v>
      </c>
      <c r="B415" s="22" t="s">
        <v>323</v>
      </c>
      <c r="C415" s="38">
        <f t="shared" si="907"/>
        <v>374484.53</v>
      </c>
      <c r="D415" s="65">
        <v>0</v>
      </c>
      <c r="E415" s="65">
        <v>0</v>
      </c>
      <c r="F415" s="10">
        <v>0</v>
      </c>
      <c r="G415" s="10">
        <v>0</v>
      </c>
      <c r="H415" s="10">
        <v>0</v>
      </c>
      <c r="I415" s="65">
        <v>0</v>
      </c>
      <c r="J415" s="10">
        <v>0</v>
      </c>
      <c r="K415" s="10">
        <v>0</v>
      </c>
      <c r="L415" s="10">
        <v>0</v>
      </c>
      <c r="M415" s="10">
        <v>0</v>
      </c>
      <c r="N415" s="65">
        <v>0</v>
      </c>
      <c r="O415" s="65">
        <v>0</v>
      </c>
      <c r="P415" s="10">
        <v>0</v>
      </c>
      <c r="Q415" s="10">
        <v>0</v>
      </c>
      <c r="R415" s="10">
        <v>0</v>
      </c>
      <c r="S415" s="65">
        <v>0</v>
      </c>
      <c r="T415" s="10">
        <v>0</v>
      </c>
      <c r="U415" s="10">
        <v>0</v>
      </c>
      <c r="V415" s="10">
        <v>376599</v>
      </c>
      <c r="W415" s="10">
        <v>0</v>
      </c>
      <c r="X415" s="10">
        <v>0</v>
      </c>
      <c r="Y415" s="10">
        <v>404.53</v>
      </c>
      <c r="Z415" s="10">
        <v>0</v>
      </c>
      <c r="AA415" s="10">
        <v>0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43">
        <v>-2519</v>
      </c>
      <c r="AJ415" s="65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65">
        <v>0</v>
      </c>
      <c r="AR415" s="10">
        <v>0</v>
      </c>
      <c r="AS415" s="10">
        <v>0</v>
      </c>
      <c r="AT415" s="10">
        <v>0</v>
      </c>
      <c r="AU415" s="10">
        <v>0</v>
      </c>
      <c r="AV415" s="10">
        <v>0</v>
      </c>
      <c r="AW415" s="10">
        <v>0</v>
      </c>
      <c r="AX415" s="10">
        <v>0</v>
      </c>
      <c r="AY415" s="10">
        <v>0</v>
      </c>
      <c r="AZ415" s="10">
        <v>0</v>
      </c>
      <c r="BA415" s="10">
        <v>0</v>
      </c>
      <c r="BB415" s="10">
        <v>0</v>
      </c>
      <c r="BC415" s="10">
        <v>0</v>
      </c>
      <c r="BD415" s="10">
        <v>0</v>
      </c>
      <c r="BE415" s="10">
        <v>0</v>
      </c>
      <c r="BF415" s="10">
        <v>0</v>
      </c>
    </row>
    <row r="416" spans="1:58" ht="14.1" customHeight="1">
      <c r="A416" s="412">
        <f t="shared" si="896"/>
        <v>410</v>
      </c>
      <c r="B416" s="22" t="s">
        <v>278</v>
      </c>
      <c r="C416" s="38">
        <f t="shared" si="907"/>
        <v>-31925</v>
      </c>
      <c r="D416" s="65">
        <v>0</v>
      </c>
      <c r="E416" s="65">
        <v>0</v>
      </c>
      <c r="F416" s="10">
        <v>0</v>
      </c>
      <c r="G416" s="10">
        <v>0</v>
      </c>
      <c r="H416" s="10">
        <v>0</v>
      </c>
      <c r="I416" s="65">
        <v>0</v>
      </c>
      <c r="J416" s="10">
        <v>0</v>
      </c>
      <c r="K416" s="10">
        <v>0</v>
      </c>
      <c r="L416" s="10">
        <v>0</v>
      </c>
      <c r="M416" s="10">
        <v>0</v>
      </c>
      <c r="N416" s="65">
        <v>0</v>
      </c>
      <c r="O416" s="65">
        <v>0</v>
      </c>
      <c r="P416" s="10">
        <v>0</v>
      </c>
      <c r="Q416" s="10">
        <v>0</v>
      </c>
      <c r="R416" s="10">
        <v>0</v>
      </c>
      <c r="S416" s="65">
        <v>0</v>
      </c>
      <c r="T416" s="10">
        <v>0</v>
      </c>
      <c r="U416" s="10">
        <v>0</v>
      </c>
      <c r="V416" s="10">
        <v>0</v>
      </c>
      <c r="W416" s="10">
        <v>0</v>
      </c>
      <c r="X416" s="10">
        <v>-31889</v>
      </c>
      <c r="Y416" s="10">
        <v>0</v>
      </c>
      <c r="Z416" s="10">
        <v>0</v>
      </c>
      <c r="AA416" s="10">
        <v>0</v>
      </c>
      <c r="AB416" s="10">
        <v>0</v>
      </c>
      <c r="AC416" s="10">
        <v>0</v>
      </c>
      <c r="AD416" s="10">
        <v>0</v>
      </c>
      <c r="AE416" s="10">
        <v>0</v>
      </c>
      <c r="AF416" s="10">
        <v>0</v>
      </c>
      <c r="AG416" s="10">
        <v>0</v>
      </c>
      <c r="AH416" s="10">
        <v>0</v>
      </c>
      <c r="AI416" s="43">
        <v>-36</v>
      </c>
      <c r="AJ416" s="65">
        <v>0</v>
      </c>
      <c r="AK416" s="10">
        <v>0</v>
      </c>
      <c r="AL416" s="10">
        <v>0</v>
      </c>
      <c r="AM416" s="10">
        <v>0</v>
      </c>
      <c r="AN416" s="10">
        <v>0</v>
      </c>
      <c r="AO416" s="10">
        <v>0</v>
      </c>
      <c r="AP416" s="10">
        <v>0</v>
      </c>
      <c r="AQ416" s="65">
        <v>0</v>
      </c>
      <c r="AR416" s="10">
        <v>0</v>
      </c>
      <c r="AS416" s="10">
        <v>0</v>
      </c>
      <c r="AT416" s="10">
        <v>0</v>
      </c>
      <c r="AU416" s="10">
        <v>0</v>
      </c>
      <c r="AV416" s="10">
        <v>0</v>
      </c>
      <c r="AW416" s="10">
        <v>0</v>
      </c>
      <c r="AX416" s="10">
        <v>0</v>
      </c>
      <c r="AY416" s="10">
        <v>0</v>
      </c>
      <c r="AZ416" s="10">
        <v>0</v>
      </c>
      <c r="BA416" s="10">
        <v>0</v>
      </c>
      <c r="BB416" s="10">
        <v>0</v>
      </c>
      <c r="BC416" s="10">
        <v>0</v>
      </c>
      <c r="BD416" s="10">
        <v>0</v>
      </c>
      <c r="BE416" s="10">
        <v>0</v>
      </c>
      <c r="BF416" s="10">
        <v>0</v>
      </c>
    </row>
    <row r="417" spans="1:58" ht="14.1" customHeight="1">
      <c r="A417" s="412">
        <f t="shared" si="896"/>
        <v>411</v>
      </c>
      <c r="B417" s="22" t="s">
        <v>279</v>
      </c>
      <c r="C417" s="38">
        <f t="shared" si="907"/>
        <v>-8288.01</v>
      </c>
      <c r="D417" s="65">
        <v>0</v>
      </c>
      <c r="E417" s="65">
        <v>0</v>
      </c>
      <c r="F417" s="10">
        <v>0</v>
      </c>
      <c r="G417" s="10">
        <v>0</v>
      </c>
      <c r="H417" s="10">
        <v>0</v>
      </c>
      <c r="I417" s="65">
        <v>0</v>
      </c>
      <c r="J417" s="10">
        <v>0</v>
      </c>
      <c r="K417" s="10">
        <v>0</v>
      </c>
      <c r="L417" s="10">
        <v>0</v>
      </c>
      <c r="M417" s="10">
        <v>0</v>
      </c>
      <c r="N417" s="65">
        <v>0</v>
      </c>
      <c r="O417" s="65">
        <v>0</v>
      </c>
      <c r="P417" s="10">
        <v>0</v>
      </c>
      <c r="Q417" s="10">
        <v>0</v>
      </c>
      <c r="R417" s="10">
        <v>0</v>
      </c>
      <c r="S417" s="65">
        <v>0</v>
      </c>
      <c r="T417" s="10">
        <v>0</v>
      </c>
      <c r="U417" s="10">
        <v>0</v>
      </c>
      <c r="V417" s="10">
        <v>0</v>
      </c>
      <c r="W417" s="10">
        <v>-6656</v>
      </c>
      <c r="X417" s="10">
        <v>0</v>
      </c>
      <c r="Y417" s="10">
        <v>-103.16</v>
      </c>
      <c r="Z417" s="10">
        <v>0</v>
      </c>
      <c r="AA417" s="10">
        <v>0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43">
        <f>-105+-568</f>
        <v>-673</v>
      </c>
      <c r="AJ417" s="65">
        <v>-855.85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65">
        <v>0</v>
      </c>
      <c r="AR417" s="10">
        <v>0</v>
      </c>
      <c r="AS417" s="10">
        <v>0</v>
      </c>
      <c r="AT417" s="10">
        <v>0</v>
      </c>
      <c r="AU417" s="10">
        <v>0</v>
      </c>
      <c r="AV417" s="10">
        <v>0</v>
      </c>
      <c r="AW417" s="10">
        <v>0</v>
      </c>
      <c r="AX417" s="10">
        <v>0</v>
      </c>
      <c r="AY417" s="10">
        <v>0</v>
      </c>
      <c r="AZ417" s="10">
        <v>0</v>
      </c>
      <c r="BA417" s="10">
        <v>0</v>
      </c>
      <c r="BB417" s="10">
        <v>0</v>
      </c>
      <c r="BC417" s="10">
        <v>0</v>
      </c>
      <c r="BD417" s="10">
        <v>0</v>
      </c>
      <c r="BE417" s="10">
        <v>0</v>
      </c>
      <c r="BF417" s="10">
        <v>0</v>
      </c>
    </row>
    <row r="418" spans="1:58" ht="14.1" customHeight="1">
      <c r="A418" s="412">
        <f t="shared" si="896"/>
        <v>412</v>
      </c>
      <c r="B418" s="56" t="s">
        <v>280</v>
      </c>
      <c r="C418" s="38">
        <f t="shared" si="907"/>
        <v>5909.369999999999</v>
      </c>
      <c r="D418" s="212">
        <v>0</v>
      </c>
      <c r="E418" s="212">
        <v>0</v>
      </c>
      <c r="F418" s="43">
        <v>0</v>
      </c>
      <c r="G418" s="43">
        <v>0</v>
      </c>
      <c r="H418" s="43">
        <v>0</v>
      </c>
      <c r="I418" s="212">
        <v>0</v>
      </c>
      <c r="J418" s="43">
        <v>0</v>
      </c>
      <c r="K418" s="43">
        <v>0</v>
      </c>
      <c r="L418" s="43">
        <v>0</v>
      </c>
      <c r="M418" s="43">
        <v>0</v>
      </c>
      <c r="N418" s="212">
        <v>0</v>
      </c>
      <c r="O418" s="212">
        <v>0</v>
      </c>
      <c r="P418" s="43">
        <v>0</v>
      </c>
      <c r="Q418" s="43">
        <v>0</v>
      </c>
      <c r="R418" s="43">
        <v>0</v>
      </c>
      <c r="S418" s="212">
        <v>0</v>
      </c>
      <c r="T418" s="43">
        <v>0</v>
      </c>
      <c r="U418" s="43">
        <v>0</v>
      </c>
      <c r="V418" s="43">
        <v>0</v>
      </c>
      <c r="W418" s="43">
        <v>0</v>
      </c>
      <c r="X418" s="43">
        <v>0</v>
      </c>
      <c r="Y418" s="43">
        <f>27606.34+-21696.97</f>
        <v>5909.369999999999</v>
      </c>
      <c r="Z418" s="43">
        <v>0</v>
      </c>
      <c r="AA418" s="43">
        <v>0</v>
      </c>
      <c r="AB418" s="43">
        <v>0</v>
      </c>
      <c r="AC418" s="43">
        <v>0</v>
      </c>
      <c r="AD418" s="43">
        <v>0</v>
      </c>
      <c r="AE418" s="43">
        <v>0</v>
      </c>
      <c r="AF418" s="43">
        <v>0</v>
      </c>
      <c r="AG418" s="43">
        <v>0</v>
      </c>
      <c r="AH418" s="43">
        <v>0</v>
      </c>
      <c r="AI418" s="43">
        <v>0</v>
      </c>
      <c r="AJ418" s="212">
        <v>0</v>
      </c>
      <c r="AK418" s="43">
        <v>0</v>
      </c>
      <c r="AL418" s="43">
        <v>0</v>
      </c>
      <c r="AM418" s="43">
        <v>0</v>
      </c>
      <c r="AN418" s="43">
        <v>0</v>
      </c>
      <c r="AO418" s="43">
        <v>0</v>
      </c>
      <c r="AP418" s="43">
        <v>0</v>
      </c>
      <c r="AQ418" s="212">
        <v>0</v>
      </c>
      <c r="AR418" s="43">
        <v>0</v>
      </c>
      <c r="AS418" s="43">
        <v>0</v>
      </c>
      <c r="AT418" s="43">
        <v>0</v>
      </c>
      <c r="AU418" s="43">
        <v>0</v>
      </c>
      <c r="AV418" s="43">
        <v>0</v>
      </c>
      <c r="AW418" s="43">
        <v>0</v>
      </c>
      <c r="AX418" s="43">
        <v>0</v>
      </c>
      <c r="AY418" s="43">
        <v>0</v>
      </c>
      <c r="AZ418" s="43">
        <v>0</v>
      </c>
      <c r="BA418" s="43">
        <v>0</v>
      </c>
      <c r="BB418" s="43">
        <v>0</v>
      </c>
      <c r="BC418" s="43">
        <v>0</v>
      </c>
      <c r="BD418" s="43">
        <v>0</v>
      </c>
      <c r="BE418" s="43">
        <v>0</v>
      </c>
      <c r="BF418" s="43">
        <v>0</v>
      </c>
    </row>
    <row r="419" spans="1:58" ht="14.1" customHeight="1">
      <c r="A419" s="412">
        <f t="shared" si="896"/>
        <v>413</v>
      </c>
      <c r="B419" s="20" t="s">
        <v>515</v>
      </c>
      <c r="C419" s="86">
        <f>SUM(C405:C418)</f>
        <v>-2306105.8299999991</v>
      </c>
      <c r="D419" s="65">
        <f>SUM(D405:D418)</f>
        <v>0</v>
      </c>
      <c r="E419" s="65">
        <f>SUM(E405:E418)</f>
        <v>0</v>
      </c>
      <c r="F419" s="86">
        <f t="shared" ref="F419" si="908">SUM(F405:F418)</f>
        <v>0</v>
      </c>
      <c r="G419" s="86">
        <f t="shared" ref="G419" si="909">SUM(G405:G418)</f>
        <v>0</v>
      </c>
      <c r="H419" s="86">
        <f t="shared" ref="H419:BE419" si="910">SUM(H405:H418)</f>
        <v>0</v>
      </c>
      <c r="I419" s="65">
        <f>SUM(I405:I418)</f>
        <v>0</v>
      </c>
      <c r="J419" s="86">
        <f>SUM(J405:J418)</f>
        <v>0</v>
      </c>
      <c r="K419" s="86">
        <f>SUM(K405:K418)</f>
        <v>0</v>
      </c>
      <c r="L419" s="86">
        <f t="shared" ref="L419" si="911">SUM(L405:L418)</f>
        <v>0</v>
      </c>
      <c r="M419" s="86">
        <f t="shared" ref="M419:AB419" si="912">SUM(M405:M418)</f>
        <v>0</v>
      </c>
      <c r="N419" s="65">
        <f t="shared" si="912"/>
        <v>0</v>
      </c>
      <c r="O419" s="65">
        <f t="shared" si="912"/>
        <v>0</v>
      </c>
      <c r="P419" s="86">
        <f t="shared" si="912"/>
        <v>0</v>
      </c>
      <c r="Q419" s="86">
        <f t="shared" si="912"/>
        <v>0</v>
      </c>
      <c r="R419" s="86">
        <f t="shared" si="912"/>
        <v>0</v>
      </c>
      <c r="S419" s="65">
        <f t="shared" si="912"/>
        <v>0</v>
      </c>
      <c r="T419" s="86">
        <f t="shared" si="912"/>
        <v>0</v>
      </c>
      <c r="U419" s="86">
        <f t="shared" si="912"/>
        <v>0</v>
      </c>
      <c r="V419" s="86">
        <f t="shared" si="912"/>
        <v>376599</v>
      </c>
      <c r="W419" s="86">
        <f t="shared" si="912"/>
        <v>-6656</v>
      </c>
      <c r="X419" s="86">
        <f t="shared" si="912"/>
        <v>-31889</v>
      </c>
      <c r="Y419" s="86">
        <f t="shared" si="912"/>
        <v>8292.2799999999988</v>
      </c>
      <c r="Z419" s="86">
        <f t="shared" si="912"/>
        <v>148679</v>
      </c>
      <c r="AA419" s="86">
        <f t="shared" si="912"/>
        <v>429241</v>
      </c>
      <c r="AB419" s="86">
        <f t="shared" si="912"/>
        <v>0</v>
      </c>
      <c r="AC419" s="86">
        <f t="shared" ref="AC419" si="913">SUM(AC405:AC418)</f>
        <v>0</v>
      </c>
      <c r="AD419" s="86">
        <f>SUM(AD405:AD418)</f>
        <v>0</v>
      </c>
      <c r="AE419" s="86">
        <f>SUM(AE405:AE418)</f>
        <v>0</v>
      </c>
      <c r="AF419" s="86">
        <f t="shared" ref="AF419" si="914">SUM(AF405:AF418)</f>
        <v>0</v>
      </c>
      <c r="AG419" s="86">
        <f t="shared" ref="AG419" si="915">SUM(AG405:AG418)</f>
        <v>0</v>
      </c>
      <c r="AH419" s="86">
        <f>SUM(AH405:AH418)</f>
        <v>0</v>
      </c>
      <c r="AI419" s="86">
        <f>SUM(AI405:AI418)</f>
        <v>-3216692</v>
      </c>
      <c r="AJ419" s="65">
        <f t="shared" ref="AJ419" si="916">SUM(AJ405:AJ418)</f>
        <v>-13680.11</v>
      </c>
      <c r="AK419" s="86">
        <f t="shared" ref="AK419:AU419" si="917">SUM(AK405:AK418)</f>
        <v>0</v>
      </c>
      <c r="AL419" s="86">
        <f t="shared" si="917"/>
        <v>0</v>
      </c>
      <c r="AM419" s="86">
        <f t="shared" si="917"/>
        <v>0</v>
      </c>
      <c r="AN419" s="86">
        <f t="shared" si="917"/>
        <v>0</v>
      </c>
      <c r="AO419" s="86">
        <f t="shared" si="917"/>
        <v>0</v>
      </c>
      <c r="AP419" s="86">
        <f t="shared" si="917"/>
        <v>0</v>
      </c>
      <c r="AQ419" s="65">
        <f t="shared" si="917"/>
        <v>0</v>
      </c>
      <c r="AR419" s="86">
        <f t="shared" si="917"/>
        <v>0</v>
      </c>
      <c r="AS419" s="86">
        <f t="shared" si="917"/>
        <v>0</v>
      </c>
      <c r="AT419" s="86">
        <f t="shared" si="917"/>
        <v>0</v>
      </c>
      <c r="AU419" s="86">
        <f t="shared" si="917"/>
        <v>0</v>
      </c>
      <c r="AV419" s="86">
        <f>SUM(AV405:AV418)</f>
        <v>0</v>
      </c>
      <c r="AW419" s="86">
        <f>SUM(AW405:AW418)</f>
        <v>0</v>
      </c>
      <c r="AX419" s="86">
        <f t="shared" si="910"/>
        <v>0</v>
      </c>
      <c r="AY419" s="86">
        <f t="shared" si="910"/>
        <v>0</v>
      </c>
      <c r="AZ419" s="86">
        <f t="shared" si="910"/>
        <v>0</v>
      </c>
      <c r="BA419" s="86">
        <f t="shared" si="910"/>
        <v>0</v>
      </c>
      <c r="BB419" s="86">
        <f t="shared" si="910"/>
        <v>0</v>
      </c>
      <c r="BC419" s="86">
        <f t="shared" si="910"/>
        <v>0</v>
      </c>
      <c r="BD419" s="86">
        <f t="shared" si="910"/>
        <v>0</v>
      </c>
      <c r="BE419" s="86">
        <f t="shared" si="910"/>
        <v>0</v>
      </c>
      <c r="BF419" s="86">
        <f>SUM(BF405:BF418)</f>
        <v>0</v>
      </c>
    </row>
    <row r="420" spans="1:58" ht="14.1" customHeight="1">
      <c r="A420" s="412">
        <f t="shared" si="896"/>
        <v>414</v>
      </c>
      <c r="B420" s="22"/>
      <c r="C420" s="22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</row>
    <row r="421" spans="1:58" ht="14.1" customHeight="1">
      <c r="A421" s="412">
        <f t="shared" si="896"/>
        <v>415</v>
      </c>
      <c r="B421" s="134" t="s">
        <v>281</v>
      </c>
      <c r="C421" s="38">
        <f>SUM(D421:BF421)</f>
        <v>3419.369999999999</v>
      </c>
      <c r="D421" s="43">
        <v>0</v>
      </c>
      <c r="E421" s="43">
        <v>0</v>
      </c>
      <c r="F421" s="43">
        <v>0</v>
      </c>
      <c r="G421" s="43">
        <v>0</v>
      </c>
      <c r="H421" s="43">
        <v>0</v>
      </c>
      <c r="I421" s="43">
        <v>0</v>
      </c>
      <c r="J421" s="43">
        <v>0</v>
      </c>
      <c r="K421" s="43">
        <v>0</v>
      </c>
      <c r="L421" s="43">
        <v>0</v>
      </c>
      <c r="M421" s="43">
        <v>0</v>
      </c>
      <c r="N421" s="43">
        <v>0</v>
      </c>
      <c r="O421" s="43">
        <v>0</v>
      </c>
      <c r="P421" s="43">
        <v>0</v>
      </c>
      <c r="Q421" s="43">
        <v>0</v>
      </c>
      <c r="R421" s="43">
        <v>0</v>
      </c>
      <c r="S421" s="43">
        <v>0</v>
      </c>
      <c r="T421" s="43">
        <v>0</v>
      </c>
      <c r="U421" s="43">
        <v>0</v>
      </c>
      <c r="V421" s="43">
        <v>0</v>
      </c>
      <c r="W421" s="43">
        <v>0</v>
      </c>
      <c r="X421" s="43">
        <v>0</v>
      </c>
      <c r="Y421" s="43">
        <v>22912.37</v>
      </c>
      <c r="Z421" s="43">
        <v>0</v>
      </c>
      <c r="AA421" s="43">
        <v>0</v>
      </c>
      <c r="AB421" s="43">
        <v>0</v>
      </c>
      <c r="AC421" s="43">
        <v>0</v>
      </c>
      <c r="AD421" s="43">
        <v>0</v>
      </c>
      <c r="AE421" s="43">
        <v>0</v>
      </c>
      <c r="AF421" s="43">
        <v>0</v>
      </c>
      <c r="AG421" s="43">
        <v>0</v>
      </c>
      <c r="AH421" s="43">
        <v>0</v>
      </c>
      <c r="AI421" s="43">
        <f>-19251+-242</f>
        <v>-19493</v>
      </c>
      <c r="AJ421" s="43">
        <v>0</v>
      </c>
      <c r="AK421" s="43">
        <v>0</v>
      </c>
      <c r="AL421" s="43">
        <v>0</v>
      </c>
      <c r="AM421" s="43">
        <v>0</v>
      </c>
      <c r="AN421" s="43">
        <v>0</v>
      </c>
      <c r="AO421" s="43">
        <v>0</v>
      </c>
      <c r="AP421" s="43">
        <v>0</v>
      </c>
      <c r="AQ421" s="43">
        <v>0</v>
      </c>
      <c r="AR421" s="43">
        <v>0</v>
      </c>
      <c r="AS421" s="43">
        <v>0</v>
      </c>
      <c r="AT421" s="43">
        <v>0</v>
      </c>
      <c r="AU421" s="43">
        <v>0</v>
      </c>
      <c r="AV421" s="43">
        <v>0</v>
      </c>
      <c r="AW421" s="43">
        <v>0</v>
      </c>
      <c r="AX421" s="43">
        <v>0</v>
      </c>
      <c r="AY421" s="43">
        <v>0</v>
      </c>
      <c r="AZ421" s="43">
        <v>0</v>
      </c>
      <c r="BA421" s="43">
        <v>0</v>
      </c>
      <c r="BB421" s="43">
        <v>0</v>
      </c>
      <c r="BC421" s="43">
        <v>0</v>
      </c>
      <c r="BD421" s="43">
        <v>0</v>
      </c>
      <c r="BE421" s="43">
        <v>0</v>
      </c>
      <c r="BF421" s="43">
        <v>0</v>
      </c>
    </row>
    <row r="422" spans="1:58" ht="14.1" customHeight="1">
      <c r="A422" s="412">
        <f t="shared" si="896"/>
        <v>416</v>
      </c>
      <c r="B422" s="57" t="s">
        <v>282</v>
      </c>
      <c r="C422" s="38">
        <f>SUM(D422:BF422)</f>
        <v>0</v>
      </c>
      <c r="D422" s="43">
        <v>0</v>
      </c>
      <c r="E422" s="43">
        <v>0</v>
      </c>
      <c r="F422" s="43">
        <v>0</v>
      </c>
      <c r="G422" s="43">
        <v>0</v>
      </c>
      <c r="H422" s="43">
        <v>0</v>
      </c>
      <c r="I422" s="43">
        <v>0</v>
      </c>
      <c r="J422" s="43">
        <v>0</v>
      </c>
      <c r="K422" s="43">
        <v>0</v>
      </c>
      <c r="L422" s="43">
        <v>0</v>
      </c>
      <c r="M422" s="43">
        <v>0</v>
      </c>
      <c r="N422" s="43">
        <v>0</v>
      </c>
      <c r="O422" s="43">
        <v>0</v>
      </c>
      <c r="P422" s="43">
        <v>0</v>
      </c>
      <c r="Q422" s="43">
        <v>0</v>
      </c>
      <c r="R422" s="43">
        <v>0</v>
      </c>
      <c r="S422" s="43">
        <v>0</v>
      </c>
      <c r="T422" s="43">
        <v>0</v>
      </c>
      <c r="U422" s="43">
        <v>0</v>
      </c>
      <c r="V422" s="43">
        <v>0</v>
      </c>
      <c r="W422" s="43">
        <v>0</v>
      </c>
      <c r="X422" s="43">
        <v>0</v>
      </c>
      <c r="Y422" s="43">
        <v>0</v>
      </c>
      <c r="Z422" s="43">
        <v>0</v>
      </c>
      <c r="AA422" s="43">
        <v>0</v>
      </c>
      <c r="AB422" s="43">
        <v>0</v>
      </c>
      <c r="AC422" s="43">
        <v>0</v>
      </c>
      <c r="AD422" s="43">
        <v>0</v>
      </c>
      <c r="AE422" s="43">
        <v>0</v>
      </c>
      <c r="AF422" s="43">
        <v>0</v>
      </c>
      <c r="AG422" s="43">
        <v>0</v>
      </c>
      <c r="AH422" s="43">
        <v>0</v>
      </c>
      <c r="AI422" s="43">
        <v>0</v>
      </c>
      <c r="AJ422" s="43">
        <v>0</v>
      </c>
      <c r="AK422" s="43">
        <v>0</v>
      </c>
      <c r="AL422" s="43">
        <v>0</v>
      </c>
      <c r="AM422" s="43">
        <v>0</v>
      </c>
      <c r="AN422" s="43">
        <v>0</v>
      </c>
      <c r="AO422" s="43">
        <v>0</v>
      </c>
      <c r="AP422" s="43">
        <v>0</v>
      </c>
      <c r="AQ422" s="43">
        <v>0</v>
      </c>
      <c r="AR422" s="43">
        <v>0</v>
      </c>
      <c r="AS422" s="43">
        <v>0</v>
      </c>
      <c r="AT422" s="43">
        <v>0</v>
      </c>
      <c r="AU422" s="43">
        <v>0</v>
      </c>
      <c r="AV422" s="43">
        <v>0</v>
      </c>
      <c r="AW422" s="43">
        <v>0</v>
      </c>
      <c r="AX422" s="43">
        <v>0</v>
      </c>
      <c r="AY422" s="43">
        <v>0</v>
      </c>
      <c r="AZ422" s="43">
        <v>0</v>
      </c>
      <c r="BA422" s="43">
        <v>0</v>
      </c>
      <c r="BB422" s="43">
        <v>0</v>
      </c>
      <c r="BC422" s="43">
        <v>0</v>
      </c>
      <c r="BD422" s="43">
        <v>0</v>
      </c>
      <c r="BE422" s="43">
        <v>0</v>
      </c>
      <c r="BF422" s="43">
        <v>0</v>
      </c>
    </row>
    <row r="423" spans="1:58" ht="14.1" customHeight="1">
      <c r="A423" s="412">
        <f t="shared" si="896"/>
        <v>417</v>
      </c>
      <c r="B423" s="20" t="s">
        <v>283</v>
      </c>
      <c r="C423" s="86">
        <f t="shared" ref="C423:H423" si="918">C419+SUM(C421:C422)</f>
        <v>-2302686.459999999</v>
      </c>
      <c r="D423" s="86">
        <f t="shared" si="918"/>
        <v>0</v>
      </c>
      <c r="E423" s="86">
        <f t="shared" ref="E423" si="919">E419+SUM(E421:E422)</f>
        <v>0</v>
      </c>
      <c r="F423" s="86">
        <f t="shared" ref="F423" si="920">F419+SUM(F421:F422)</f>
        <v>0</v>
      </c>
      <c r="G423" s="86">
        <f t="shared" ref="G423" si="921">G419+SUM(G421:G422)</f>
        <v>0</v>
      </c>
      <c r="H423" s="86">
        <f t="shared" si="918"/>
        <v>0</v>
      </c>
      <c r="I423" s="86">
        <f>I419+SUM(I421:I422)</f>
        <v>0</v>
      </c>
      <c r="J423" s="86">
        <f>J419+SUM(J421:J422)</f>
        <v>0</v>
      </c>
      <c r="K423" s="86">
        <f>K419+SUM(K421:K422)</f>
        <v>0</v>
      </c>
      <c r="L423" s="86">
        <f t="shared" ref="L423" si="922">L419+SUM(L421:L422)</f>
        <v>0</v>
      </c>
      <c r="M423" s="86">
        <f t="shared" ref="M423:AB423" si="923">M419+SUM(M421:M422)</f>
        <v>0</v>
      </c>
      <c r="N423" s="86">
        <f t="shared" si="923"/>
        <v>0</v>
      </c>
      <c r="O423" s="86">
        <f t="shared" si="923"/>
        <v>0</v>
      </c>
      <c r="P423" s="86">
        <f t="shared" si="923"/>
        <v>0</v>
      </c>
      <c r="Q423" s="86">
        <f t="shared" si="923"/>
        <v>0</v>
      </c>
      <c r="R423" s="86">
        <f t="shared" si="923"/>
        <v>0</v>
      </c>
      <c r="S423" s="86">
        <f t="shared" si="923"/>
        <v>0</v>
      </c>
      <c r="T423" s="86">
        <f t="shared" si="923"/>
        <v>0</v>
      </c>
      <c r="U423" s="86">
        <f t="shared" si="923"/>
        <v>0</v>
      </c>
      <c r="V423" s="86">
        <f t="shared" si="923"/>
        <v>376599</v>
      </c>
      <c r="W423" s="86">
        <f t="shared" si="923"/>
        <v>-6656</v>
      </c>
      <c r="X423" s="86">
        <f t="shared" si="923"/>
        <v>-31889</v>
      </c>
      <c r="Y423" s="86">
        <f t="shared" si="923"/>
        <v>31204.649999999998</v>
      </c>
      <c r="Z423" s="86">
        <f t="shared" si="923"/>
        <v>148679</v>
      </c>
      <c r="AA423" s="86">
        <f t="shared" si="923"/>
        <v>429241</v>
      </c>
      <c r="AB423" s="86">
        <f t="shared" si="923"/>
        <v>0</v>
      </c>
      <c r="AC423" s="86">
        <f t="shared" ref="AC423" si="924">AC419+SUM(AC421:AC422)</f>
        <v>0</v>
      </c>
      <c r="AD423" s="86">
        <f>AD419+SUM(AD421:AD422)</f>
        <v>0</v>
      </c>
      <c r="AE423" s="86">
        <f>AE419+SUM(AE421:AE422)</f>
        <v>0</v>
      </c>
      <c r="AF423" s="86">
        <f t="shared" ref="AF423" si="925">AF419+SUM(AF421:AF422)</f>
        <v>0</v>
      </c>
      <c r="AG423" s="86">
        <f t="shared" ref="AG423" si="926">AG419+SUM(AG421:AG422)</f>
        <v>0</v>
      </c>
      <c r="AH423" s="86">
        <f t="shared" ref="AH423:AU423" si="927">AH419+SUM(AH421:AH422)</f>
        <v>0</v>
      </c>
      <c r="AI423" s="86">
        <f>AI419+SUM(AI421:AI422)</f>
        <v>-3236185</v>
      </c>
      <c r="AJ423" s="86">
        <f t="shared" si="927"/>
        <v>-13680.11</v>
      </c>
      <c r="AK423" s="86">
        <f t="shared" si="927"/>
        <v>0</v>
      </c>
      <c r="AL423" s="86">
        <f t="shared" si="927"/>
        <v>0</v>
      </c>
      <c r="AM423" s="86">
        <f t="shared" si="927"/>
        <v>0</v>
      </c>
      <c r="AN423" s="86">
        <f t="shared" si="927"/>
        <v>0</v>
      </c>
      <c r="AO423" s="86">
        <f t="shared" si="927"/>
        <v>0</v>
      </c>
      <c r="AP423" s="86">
        <f t="shared" si="927"/>
        <v>0</v>
      </c>
      <c r="AQ423" s="86">
        <f t="shared" si="927"/>
        <v>0</v>
      </c>
      <c r="AR423" s="86">
        <f t="shared" si="927"/>
        <v>0</v>
      </c>
      <c r="AS423" s="86">
        <f t="shared" si="927"/>
        <v>0</v>
      </c>
      <c r="AT423" s="86">
        <f t="shared" si="927"/>
        <v>0</v>
      </c>
      <c r="AU423" s="86">
        <f t="shared" si="927"/>
        <v>0</v>
      </c>
      <c r="AV423" s="86">
        <f>AV419+SUM(AV421:AV422)</f>
        <v>0</v>
      </c>
      <c r="AW423" s="86">
        <f>AW419+SUM(AW421:AW422)</f>
        <v>0</v>
      </c>
      <c r="AX423" s="86">
        <f t="shared" ref="AX423:BA423" si="928">AX419+SUM(AX421:AX422)</f>
        <v>0</v>
      </c>
      <c r="AY423" s="86">
        <f t="shared" si="928"/>
        <v>0</v>
      </c>
      <c r="AZ423" s="86">
        <f t="shared" si="928"/>
        <v>0</v>
      </c>
      <c r="BA423" s="86">
        <f t="shared" si="928"/>
        <v>0</v>
      </c>
      <c r="BB423" s="86">
        <f t="shared" ref="BB423:BE423" si="929">BB419+SUM(BB421:BB422)</f>
        <v>0</v>
      </c>
      <c r="BC423" s="86">
        <f t="shared" si="929"/>
        <v>0</v>
      </c>
      <c r="BD423" s="86">
        <f t="shared" si="929"/>
        <v>0</v>
      </c>
      <c r="BE423" s="86">
        <f t="shared" si="929"/>
        <v>0</v>
      </c>
      <c r="BF423" s="86">
        <f>BF419+SUM(BF421:BF422)</f>
        <v>0</v>
      </c>
    </row>
    <row r="424" spans="1:58" ht="14.1" customHeight="1">
      <c r="A424" s="412">
        <f t="shared" si="896"/>
        <v>418</v>
      </c>
      <c r="B424" s="57"/>
      <c r="C424" s="156"/>
      <c r="D424" s="156"/>
      <c r="E424" s="156"/>
      <c r="F424" s="156"/>
      <c r="G424" s="156"/>
      <c r="H424" s="156"/>
      <c r="I424" s="156"/>
      <c r="J424" s="156"/>
      <c r="K424" s="156"/>
      <c r="L424" s="156"/>
      <c r="M424" s="156"/>
      <c r="N424" s="156"/>
      <c r="O424" s="156"/>
      <c r="P424" s="156"/>
      <c r="Q424" s="156"/>
      <c r="R424" s="156"/>
      <c r="S424" s="156"/>
      <c r="T424" s="156"/>
      <c r="U424" s="156"/>
      <c r="V424" s="156"/>
      <c r="W424" s="156"/>
      <c r="X424" s="156"/>
      <c r="Y424" s="156"/>
      <c r="Z424" s="156"/>
      <c r="AA424" s="156"/>
      <c r="AB424" s="156"/>
      <c r="AC424" s="156"/>
      <c r="AD424" s="156"/>
      <c r="AE424" s="156"/>
      <c r="AF424" s="156"/>
      <c r="AG424" s="156"/>
      <c r="AH424" s="156"/>
      <c r="AI424" s="156"/>
      <c r="AJ424" s="156"/>
      <c r="AK424" s="156"/>
      <c r="AL424" s="156"/>
      <c r="AM424" s="156"/>
      <c r="AN424" s="156"/>
      <c r="AO424" s="156"/>
      <c r="AP424" s="156"/>
      <c r="AQ424" s="156"/>
      <c r="AR424" s="156"/>
      <c r="AS424" s="156"/>
      <c r="AT424" s="156"/>
      <c r="AU424" s="156"/>
      <c r="AV424" s="156"/>
      <c r="AW424" s="156"/>
      <c r="AX424" s="156"/>
      <c r="AY424" s="156"/>
      <c r="AZ424" s="156"/>
      <c r="BA424" s="156"/>
      <c r="BB424" s="156"/>
      <c r="BC424" s="156"/>
      <c r="BD424" s="156"/>
      <c r="BE424" s="156"/>
      <c r="BF424" s="156"/>
    </row>
    <row r="425" spans="1:58" s="21" customFormat="1" ht="14.1" customHeight="1">
      <c r="A425" s="412">
        <f t="shared" si="896"/>
        <v>419</v>
      </c>
      <c r="B425" s="20" t="s">
        <v>516</v>
      </c>
      <c r="C425" s="174">
        <f>C423+C402+C395+C388+C379+C351+C325</f>
        <v>-31219422.619999997</v>
      </c>
      <c r="D425" s="174">
        <f>D423+D402+D395+D388+D379+D351+D325</f>
        <v>0</v>
      </c>
      <c r="E425" s="174">
        <f>E423+E402+E395+E388+E379+E351+E325</f>
        <v>53</v>
      </c>
      <c r="F425" s="174">
        <f t="shared" ref="F425" si="930">F423+F402+F395+F388+F379+F351+F325</f>
        <v>-3927716</v>
      </c>
      <c r="G425" s="174">
        <f t="shared" ref="G425" si="931">G423+G402+G395+G388+G379+G351+G325</f>
        <v>0</v>
      </c>
      <c r="H425" s="174">
        <f t="shared" ref="H425:BE425" si="932">H423+H402+H395+H388+H379+H351+H325</f>
        <v>-667402.98</v>
      </c>
      <c r="I425" s="174">
        <f>I423+I402+I395+I388+I379+I351+I325</f>
        <v>-5023081</v>
      </c>
      <c r="J425" s="174">
        <f>J423+J402+J395+J388+J379+J351+J325</f>
        <v>2211941.64</v>
      </c>
      <c r="K425" s="174">
        <f>K423+K402+K395+K388+K379+K351+K325</f>
        <v>173874.68</v>
      </c>
      <c r="L425" s="174">
        <f t="shared" ref="L425" si="933">L423+L402+L395+L388+L379+L351+L325</f>
        <v>372542</v>
      </c>
      <c r="M425" s="174">
        <f t="shared" ref="M425:AB425" si="934">M423+M402+M395+M388+M379+M351+M325</f>
        <v>-7060189</v>
      </c>
      <c r="N425" s="174">
        <f t="shared" si="934"/>
        <v>-246772</v>
      </c>
      <c r="O425" s="174">
        <f t="shared" si="934"/>
        <v>-303011</v>
      </c>
      <c r="P425" s="174">
        <f t="shared" si="934"/>
        <v>0</v>
      </c>
      <c r="Q425" s="174">
        <f t="shared" si="934"/>
        <v>-1931642</v>
      </c>
      <c r="R425" s="174">
        <f t="shared" si="934"/>
        <v>5871000</v>
      </c>
      <c r="S425" s="174">
        <f t="shared" si="934"/>
        <v>0</v>
      </c>
      <c r="T425" s="174">
        <f t="shared" si="934"/>
        <v>595932</v>
      </c>
      <c r="U425" s="174">
        <f t="shared" si="934"/>
        <v>-346408</v>
      </c>
      <c r="V425" s="174">
        <f t="shared" si="934"/>
        <v>376599</v>
      </c>
      <c r="W425" s="174">
        <f t="shared" si="934"/>
        <v>-6656</v>
      </c>
      <c r="X425" s="174">
        <f t="shared" si="934"/>
        <v>-100444.32</v>
      </c>
      <c r="Y425" s="174">
        <f t="shared" si="934"/>
        <v>-40145.969999999994</v>
      </c>
      <c r="Z425" s="174">
        <f t="shared" si="934"/>
        <v>148679</v>
      </c>
      <c r="AA425" s="174">
        <f t="shared" si="934"/>
        <v>429241</v>
      </c>
      <c r="AB425" s="174">
        <f t="shared" si="934"/>
        <v>-848165</v>
      </c>
      <c r="AC425" s="174">
        <f t="shared" ref="AC425" si="935">AC423+AC402+AC395+AC388+AC379+AC351+AC325</f>
        <v>-11501584</v>
      </c>
      <c r="AD425" s="174">
        <f>AD423+AD402+AD395+AD388+AD379+AD351+AD325</f>
        <v>882204</v>
      </c>
      <c r="AE425" s="174">
        <f>AE423+AE402+AE395+AE388+AE379+AE351+AE325</f>
        <v>528754</v>
      </c>
      <c r="AF425" s="174">
        <f t="shared" ref="AF425" si="936">AF423+AF402+AF395+AF388+AF379+AF351+AF325</f>
        <v>118606</v>
      </c>
      <c r="AG425" s="174">
        <f t="shared" ref="AG425" si="937">AG423+AG402+AG395+AG388+AG379+AG351+AG325</f>
        <v>0</v>
      </c>
      <c r="AH425" s="174">
        <f>AH423+AH402+AH395+AH388+AH379+AH351+AH325</f>
        <v>-35433</v>
      </c>
      <c r="AI425" s="174">
        <f>AI423+AI402+AI395+AI388+AI379+AI351+AI325</f>
        <v>-3979263</v>
      </c>
      <c r="AJ425" s="174">
        <f t="shared" ref="AJ425" si="938">AJ423+AJ402+AJ395+AJ388+AJ379+AJ351+AJ325</f>
        <v>-14913.67</v>
      </c>
      <c r="AK425" s="174">
        <f t="shared" ref="AK425:AU425" si="939">AK423+AK402+AK395+AK388+AK379+AK351+AK325</f>
        <v>-274334</v>
      </c>
      <c r="AL425" s="174">
        <f t="shared" si="939"/>
        <v>0</v>
      </c>
      <c r="AM425" s="174">
        <f t="shared" si="939"/>
        <v>0</v>
      </c>
      <c r="AN425" s="174">
        <f t="shared" si="939"/>
        <v>0</v>
      </c>
      <c r="AO425" s="174">
        <f t="shared" si="939"/>
        <v>0</v>
      </c>
      <c r="AP425" s="174">
        <f t="shared" si="939"/>
        <v>0</v>
      </c>
      <c r="AQ425" s="174">
        <f t="shared" si="939"/>
        <v>0</v>
      </c>
      <c r="AR425" s="174">
        <f t="shared" si="939"/>
        <v>0</v>
      </c>
      <c r="AS425" s="174">
        <f t="shared" si="939"/>
        <v>0</v>
      </c>
      <c r="AT425" s="174">
        <f t="shared" si="939"/>
        <v>0</v>
      </c>
      <c r="AU425" s="174">
        <f t="shared" si="939"/>
        <v>0</v>
      </c>
      <c r="AV425" s="174">
        <f>AV423+AV402+AV395+AV388+AV379+AV351+AV325</f>
        <v>172594</v>
      </c>
      <c r="AW425" s="174">
        <f>AW423+AW402+AW395+AW388+AW379+AW351+AW325</f>
        <v>0</v>
      </c>
      <c r="AX425" s="174">
        <f t="shared" si="932"/>
        <v>0</v>
      </c>
      <c r="AY425" s="174">
        <f t="shared" si="932"/>
        <v>0</v>
      </c>
      <c r="AZ425" s="174">
        <f t="shared" si="932"/>
        <v>-6794282</v>
      </c>
      <c r="BA425" s="174">
        <f t="shared" si="932"/>
        <v>0</v>
      </c>
      <c r="BB425" s="174">
        <f t="shared" si="932"/>
        <v>0</v>
      </c>
      <c r="BC425" s="174">
        <f t="shared" si="932"/>
        <v>0</v>
      </c>
      <c r="BD425" s="174">
        <f t="shared" si="932"/>
        <v>0</v>
      </c>
      <c r="BE425" s="174">
        <f t="shared" si="932"/>
        <v>0</v>
      </c>
      <c r="BF425" s="174">
        <f>BF423+BF402+BF395+BF388+BF379+BF351+BF325</f>
        <v>0</v>
      </c>
    </row>
    <row r="426" spans="1:58" s="21" customFormat="1" ht="14.1" customHeight="1">
      <c r="A426" s="412">
        <f t="shared" si="896"/>
        <v>420</v>
      </c>
      <c r="B426" s="134"/>
      <c r="C426" s="134"/>
      <c r="D426" s="168"/>
      <c r="E426" s="168"/>
      <c r="F426" s="168"/>
      <c r="G426" s="168"/>
      <c r="H426" s="168"/>
      <c r="I426" s="168"/>
      <c r="J426" s="168"/>
      <c r="K426" s="168"/>
      <c r="L426" s="168"/>
      <c r="M426" s="168"/>
      <c r="N426" s="168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  <c r="Y426" s="168"/>
      <c r="Z426" s="168"/>
      <c r="AA426" s="168"/>
      <c r="AB426" s="168"/>
      <c r="AC426" s="168"/>
      <c r="AD426" s="168"/>
      <c r="AE426" s="168"/>
      <c r="AF426" s="168"/>
      <c r="AG426" s="168"/>
      <c r="AH426" s="168"/>
      <c r="AI426" s="168"/>
      <c r="AJ426" s="168"/>
      <c r="AK426" s="168"/>
      <c r="AL426" s="168"/>
      <c r="AM426" s="168"/>
      <c r="AN426" s="168"/>
      <c r="AO426" s="168"/>
      <c r="AP426" s="168"/>
      <c r="AQ426" s="168"/>
      <c r="AR426" s="168"/>
      <c r="AS426" s="168"/>
      <c r="AT426" s="168"/>
      <c r="AU426" s="168"/>
      <c r="AV426" s="168"/>
      <c r="AW426" s="168"/>
      <c r="AX426" s="168"/>
      <c r="AY426" s="168"/>
      <c r="AZ426" s="168"/>
      <c r="BA426" s="168"/>
      <c r="BB426" s="168"/>
      <c r="BC426" s="168"/>
      <c r="BD426" s="168"/>
      <c r="BE426" s="168"/>
      <c r="BF426" s="168"/>
    </row>
    <row r="427" spans="1:58" s="21" customFormat="1" ht="14.1" customHeight="1">
      <c r="A427" s="412">
        <f t="shared" si="896"/>
        <v>421</v>
      </c>
      <c r="B427" s="20" t="s">
        <v>375</v>
      </c>
      <c r="C427" s="20"/>
      <c r="D427" s="168"/>
      <c r="E427" s="168"/>
      <c r="F427" s="168"/>
      <c r="G427" s="168"/>
      <c r="H427" s="168"/>
      <c r="I427" s="168"/>
      <c r="J427" s="168"/>
      <c r="K427" s="168"/>
      <c r="L427" s="168"/>
      <c r="M427" s="168"/>
      <c r="N427" s="168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  <c r="AA427" s="168"/>
      <c r="AB427" s="168"/>
      <c r="AC427" s="168"/>
      <c r="AD427" s="168"/>
      <c r="AE427" s="168"/>
      <c r="AF427" s="168"/>
      <c r="AG427" s="168"/>
      <c r="AH427" s="168"/>
      <c r="AI427" s="168"/>
      <c r="AJ427" s="168"/>
      <c r="AK427" s="168"/>
      <c r="AL427" s="168"/>
      <c r="AM427" s="168"/>
      <c r="AN427" s="168"/>
      <c r="AO427" s="168"/>
      <c r="AP427" s="168"/>
      <c r="AQ427" s="168"/>
      <c r="AR427" s="168"/>
      <c r="AS427" s="168"/>
      <c r="AT427" s="168"/>
      <c r="AU427" s="168"/>
      <c r="AV427" s="168"/>
      <c r="AW427" s="168"/>
      <c r="AX427" s="168"/>
      <c r="AY427" s="168"/>
      <c r="AZ427" s="168"/>
      <c r="BA427" s="168"/>
      <c r="BB427" s="168"/>
      <c r="BC427" s="168"/>
      <c r="BD427" s="168"/>
      <c r="BE427" s="168"/>
      <c r="BF427" s="168"/>
    </row>
    <row r="428" spans="1:58" s="21" customFormat="1" ht="14.1" customHeight="1">
      <c r="A428" s="412">
        <f t="shared" si="896"/>
        <v>422</v>
      </c>
      <c r="B428" s="22" t="s">
        <v>379</v>
      </c>
      <c r="C428" s="38">
        <f>SUM(D428:BF428)</f>
        <v>-15129077</v>
      </c>
      <c r="D428" s="38">
        <f>D316+D323</f>
        <v>0</v>
      </c>
      <c r="E428" s="38">
        <f>E316+E323</f>
        <v>53</v>
      </c>
      <c r="F428" s="10">
        <f t="shared" ref="F428" si="940">F316+F323</f>
        <v>-3927716</v>
      </c>
      <c r="G428" s="10">
        <f t="shared" ref="G428" si="941">G316+G323</f>
        <v>0</v>
      </c>
      <c r="H428" s="10">
        <f t="shared" ref="H428" si="942">H316+H323</f>
        <v>-667402.98</v>
      </c>
      <c r="I428" s="38">
        <f>I316+I323</f>
        <v>-5023081</v>
      </c>
      <c r="J428" s="10">
        <f>J316+J323</f>
        <v>2211941.64</v>
      </c>
      <c r="K428" s="10">
        <f>K316+K323</f>
        <v>173874.68</v>
      </c>
      <c r="L428" s="10">
        <f>L316+L323</f>
        <v>372542</v>
      </c>
      <c r="M428" s="168">
        <f t="shared" ref="M428:AB428" si="943">M316+M323</f>
        <v>0</v>
      </c>
      <c r="N428" s="38">
        <f t="shared" si="943"/>
        <v>0</v>
      </c>
      <c r="O428" s="38">
        <f t="shared" si="943"/>
        <v>0</v>
      </c>
      <c r="P428" s="10">
        <f t="shared" si="943"/>
        <v>0</v>
      </c>
      <c r="Q428" s="168">
        <f t="shared" si="943"/>
        <v>-1931642</v>
      </c>
      <c r="R428" s="10">
        <f t="shared" si="943"/>
        <v>5871000</v>
      </c>
      <c r="S428" s="168">
        <f t="shared" si="943"/>
        <v>0</v>
      </c>
      <c r="T428" s="10">
        <f t="shared" si="943"/>
        <v>0</v>
      </c>
      <c r="U428" s="10">
        <f t="shared" si="943"/>
        <v>0</v>
      </c>
      <c r="V428" s="10">
        <f t="shared" si="943"/>
        <v>0</v>
      </c>
      <c r="W428" s="10">
        <f t="shared" si="943"/>
        <v>0</v>
      </c>
      <c r="X428" s="10">
        <f t="shared" si="943"/>
        <v>0</v>
      </c>
      <c r="Y428" s="10">
        <f t="shared" si="943"/>
        <v>10878.220000000001</v>
      </c>
      <c r="Z428" s="168">
        <f t="shared" si="943"/>
        <v>0</v>
      </c>
      <c r="AA428" s="10">
        <f t="shared" si="943"/>
        <v>0</v>
      </c>
      <c r="AB428" s="168">
        <f t="shared" si="943"/>
        <v>-848165</v>
      </c>
      <c r="AC428" s="10">
        <f t="shared" ref="AC428" si="944">AC316+AC323</f>
        <v>-11501584</v>
      </c>
      <c r="AD428" s="10">
        <f>AD316+AD323</f>
        <v>882204</v>
      </c>
      <c r="AE428" s="10">
        <f>AE316+AE323</f>
        <v>0</v>
      </c>
      <c r="AF428" s="10">
        <f t="shared" ref="AF428" si="945">AF316+AF323</f>
        <v>0</v>
      </c>
      <c r="AG428" s="10">
        <f t="shared" ref="AG428" si="946">AG316+AG323</f>
        <v>0</v>
      </c>
      <c r="AH428" s="10">
        <f>AH316+AH323</f>
        <v>-35433</v>
      </c>
      <c r="AI428" s="10">
        <f>AI316+AI323</f>
        <v>-442194</v>
      </c>
      <c r="AJ428" s="38">
        <f t="shared" ref="AJ428" si="947">AJ316+AJ323</f>
        <v>-18.559999999999999</v>
      </c>
      <c r="AK428" s="10">
        <f t="shared" ref="AK428:AU428" si="948">AK316+AK323</f>
        <v>-274334</v>
      </c>
      <c r="AL428" s="10">
        <f t="shared" si="948"/>
        <v>0</v>
      </c>
      <c r="AM428" s="168">
        <f t="shared" si="948"/>
        <v>0</v>
      </c>
      <c r="AN428" s="10">
        <f t="shared" si="948"/>
        <v>0</v>
      </c>
      <c r="AO428" s="10">
        <f t="shared" si="948"/>
        <v>0</v>
      </c>
      <c r="AP428" s="10">
        <f t="shared" si="948"/>
        <v>0</v>
      </c>
      <c r="AQ428" s="38">
        <f t="shared" si="948"/>
        <v>0</v>
      </c>
      <c r="AR428" s="10">
        <f t="shared" si="948"/>
        <v>0</v>
      </c>
      <c r="AS428" s="10">
        <f t="shared" si="948"/>
        <v>0</v>
      </c>
      <c r="AT428" s="10">
        <f t="shared" si="948"/>
        <v>0</v>
      </c>
      <c r="AU428" s="10">
        <f t="shared" si="948"/>
        <v>0</v>
      </c>
      <c r="AV428" s="10">
        <f>AV316+AV323</f>
        <v>0</v>
      </c>
      <c r="AW428" s="10">
        <f>AW316+AW323</f>
        <v>0</v>
      </c>
      <c r="AX428" s="10">
        <f t="shared" ref="AX428:BE428" si="949">AX316+AX323</f>
        <v>0</v>
      </c>
      <c r="AY428" s="10">
        <f t="shared" si="949"/>
        <v>0</v>
      </c>
      <c r="AZ428" s="10">
        <f t="shared" si="949"/>
        <v>0</v>
      </c>
      <c r="BA428" s="10">
        <f t="shared" si="949"/>
        <v>0</v>
      </c>
      <c r="BB428" s="10">
        <f t="shared" si="949"/>
        <v>0</v>
      </c>
      <c r="BC428" s="10">
        <f t="shared" si="949"/>
        <v>0</v>
      </c>
      <c r="BD428" s="10">
        <f t="shared" si="949"/>
        <v>0</v>
      </c>
      <c r="BE428" s="10">
        <f t="shared" si="949"/>
        <v>0</v>
      </c>
      <c r="BF428" s="10">
        <f>BF316+BF323</f>
        <v>0</v>
      </c>
    </row>
    <row r="429" spans="1:58" s="21" customFormat="1" ht="14.1" customHeight="1">
      <c r="A429" s="412">
        <f t="shared" si="896"/>
        <v>423</v>
      </c>
      <c r="B429" s="22" t="s">
        <v>380</v>
      </c>
      <c r="C429" s="38">
        <f>SUM(D429:BF429)</f>
        <v>646199.4</v>
      </c>
      <c r="D429" s="38">
        <f>D339+D349</f>
        <v>0</v>
      </c>
      <c r="E429" s="38">
        <f>E339+E349</f>
        <v>0</v>
      </c>
      <c r="F429" s="38">
        <f t="shared" ref="F429" si="950">F339+F349</f>
        <v>0</v>
      </c>
      <c r="G429" s="38">
        <f t="shared" ref="G429" si="951">G339+G349</f>
        <v>0</v>
      </c>
      <c r="H429" s="38">
        <f t="shared" ref="H429" si="952">H339+H349</f>
        <v>0</v>
      </c>
      <c r="I429" s="38">
        <f>I339+I349</f>
        <v>0</v>
      </c>
      <c r="J429" s="38">
        <f>J339+J349</f>
        <v>0</v>
      </c>
      <c r="K429" s="38">
        <f>K339+K349</f>
        <v>0</v>
      </c>
      <c r="L429" s="38">
        <f t="shared" ref="L429" si="953">L339+L349</f>
        <v>0</v>
      </c>
      <c r="M429" s="38">
        <f t="shared" ref="M429:AB429" si="954">M339+M349</f>
        <v>0</v>
      </c>
      <c r="N429" s="38">
        <f t="shared" si="954"/>
        <v>0</v>
      </c>
      <c r="O429" s="38">
        <f t="shared" si="954"/>
        <v>0</v>
      </c>
      <c r="P429" s="38">
        <f t="shared" si="954"/>
        <v>0</v>
      </c>
      <c r="Q429" s="38">
        <f t="shared" si="954"/>
        <v>0</v>
      </c>
      <c r="R429" s="38">
        <f t="shared" si="954"/>
        <v>0</v>
      </c>
      <c r="S429" s="38">
        <f t="shared" si="954"/>
        <v>0</v>
      </c>
      <c r="T429" s="38">
        <f t="shared" si="954"/>
        <v>0</v>
      </c>
      <c r="U429" s="38">
        <f t="shared" si="954"/>
        <v>0</v>
      </c>
      <c r="V429" s="38">
        <f t="shared" si="954"/>
        <v>0</v>
      </c>
      <c r="W429" s="38">
        <f t="shared" si="954"/>
        <v>0</v>
      </c>
      <c r="X429" s="38">
        <f t="shared" si="954"/>
        <v>0</v>
      </c>
      <c r="Y429" s="38">
        <f t="shared" si="954"/>
        <v>451.4</v>
      </c>
      <c r="Z429" s="38">
        <f t="shared" si="954"/>
        <v>0</v>
      </c>
      <c r="AA429" s="38">
        <f t="shared" si="954"/>
        <v>0</v>
      </c>
      <c r="AB429" s="38">
        <f t="shared" si="954"/>
        <v>0</v>
      </c>
      <c r="AC429" s="38">
        <f t="shared" ref="AC429" si="955">AC339+AC349</f>
        <v>0</v>
      </c>
      <c r="AD429" s="38">
        <f>AD339+AD349</f>
        <v>0</v>
      </c>
      <c r="AE429" s="38">
        <f>AE339+AE349</f>
        <v>528754</v>
      </c>
      <c r="AF429" s="38">
        <f t="shared" ref="AF429" si="956">AF339+AF349</f>
        <v>118606</v>
      </c>
      <c r="AG429" s="38">
        <f t="shared" ref="AG429" si="957">AG339+AG349</f>
        <v>0</v>
      </c>
      <c r="AH429" s="38">
        <f>AH339+AH349</f>
        <v>0</v>
      </c>
      <c r="AI429" s="38">
        <f>AI339+AI349</f>
        <v>-1612</v>
      </c>
      <c r="AJ429" s="38">
        <f t="shared" ref="AJ429" si="958">AJ339+AJ349</f>
        <v>0</v>
      </c>
      <c r="AK429" s="38">
        <f t="shared" ref="AK429:AU429" si="959">AK339+AK349</f>
        <v>0</v>
      </c>
      <c r="AL429" s="38">
        <f t="shared" si="959"/>
        <v>0</v>
      </c>
      <c r="AM429" s="38">
        <f t="shared" si="959"/>
        <v>0</v>
      </c>
      <c r="AN429" s="38">
        <f t="shared" si="959"/>
        <v>0</v>
      </c>
      <c r="AO429" s="38">
        <f t="shared" si="959"/>
        <v>0</v>
      </c>
      <c r="AP429" s="38">
        <f t="shared" si="959"/>
        <v>0</v>
      </c>
      <c r="AQ429" s="38">
        <f t="shared" si="959"/>
        <v>0</v>
      </c>
      <c r="AR429" s="38">
        <f t="shared" si="959"/>
        <v>0</v>
      </c>
      <c r="AS429" s="38">
        <f t="shared" si="959"/>
        <v>0</v>
      </c>
      <c r="AT429" s="38">
        <f t="shared" si="959"/>
        <v>0</v>
      </c>
      <c r="AU429" s="38">
        <f t="shared" si="959"/>
        <v>0</v>
      </c>
      <c r="AV429" s="38">
        <f>AV339+AV349</f>
        <v>0</v>
      </c>
      <c r="AW429" s="38">
        <f>AW339+AW349</f>
        <v>0</v>
      </c>
      <c r="AX429" s="38">
        <f t="shared" ref="AX429:BE429" si="960">AX339+AX349</f>
        <v>0</v>
      </c>
      <c r="AY429" s="38">
        <f t="shared" si="960"/>
        <v>0</v>
      </c>
      <c r="AZ429" s="38">
        <f t="shared" si="960"/>
        <v>0</v>
      </c>
      <c r="BA429" s="38">
        <f t="shared" si="960"/>
        <v>0</v>
      </c>
      <c r="BB429" s="38">
        <f t="shared" si="960"/>
        <v>0</v>
      </c>
      <c r="BC429" s="38">
        <f t="shared" si="960"/>
        <v>0</v>
      </c>
      <c r="BD429" s="38">
        <f t="shared" si="960"/>
        <v>0</v>
      </c>
      <c r="BE429" s="38">
        <f t="shared" si="960"/>
        <v>0</v>
      </c>
      <c r="BF429" s="38">
        <f>BF339+BF349</f>
        <v>0</v>
      </c>
    </row>
    <row r="430" spans="1:58" s="21" customFormat="1" ht="14.1" customHeight="1">
      <c r="A430" s="412">
        <f t="shared" si="896"/>
        <v>424</v>
      </c>
      <c r="B430" s="22" t="s">
        <v>249</v>
      </c>
      <c r="C430" s="38">
        <f>SUM(D430:BF430)</f>
        <v>-6698454.9299999997</v>
      </c>
      <c r="D430" s="38">
        <f>D379</f>
        <v>0</v>
      </c>
      <c r="E430" s="38">
        <f>E379</f>
        <v>0</v>
      </c>
      <c r="F430" s="10">
        <f t="shared" ref="F430" si="961">F379</f>
        <v>0</v>
      </c>
      <c r="G430" s="10">
        <f t="shared" ref="G430" si="962">G379</f>
        <v>0</v>
      </c>
      <c r="H430" s="10">
        <f t="shared" ref="H430" si="963">H379</f>
        <v>0</v>
      </c>
      <c r="I430" s="38">
        <f>I379</f>
        <v>0</v>
      </c>
      <c r="J430" s="10">
        <f>J379</f>
        <v>0</v>
      </c>
      <c r="K430" s="10">
        <f>K379</f>
        <v>0</v>
      </c>
      <c r="L430" s="10">
        <f t="shared" ref="L430" si="964">L379</f>
        <v>0</v>
      </c>
      <c r="M430" s="10">
        <f>M379</f>
        <v>0</v>
      </c>
      <c r="N430" s="38">
        <f>N379+N481</f>
        <v>0</v>
      </c>
      <c r="O430" s="38">
        <f t="shared" ref="O430:AB430" si="965">O379</f>
        <v>0</v>
      </c>
      <c r="P430" s="10">
        <f t="shared" si="965"/>
        <v>0</v>
      </c>
      <c r="Q430" s="10">
        <f t="shared" si="965"/>
        <v>0</v>
      </c>
      <c r="R430" s="10">
        <f t="shared" si="965"/>
        <v>0</v>
      </c>
      <c r="S430" s="38">
        <f t="shared" si="965"/>
        <v>0</v>
      </c>
      <c r="T430" s="168">
        <f t="shared" si="965"/>
        <v>595932</v>
      </c>
      <c r="U430" s="168">
        <f t="shared" si="965"/>
        <v>-346408</v>
      </c>
      <c r="V430" s="10">
        <f t="shared" si="965"/>
        <v>0</v>
      </c>
      <c r="W430" s="10">
        <f t="shared" si="965"/>
        <v>0</v>
      </c>
      <c r="X430" s="10">
        <f t="shared" si="965"/>
        <v>0</v>
      </c>
      <c r="Y430" s="168">
        <f t="shared" si="965"/>
        <v>-83730.929999999993</v>
      </c>
      <c r="Z430" s="10">
        <f t="shared" si="965"/>
        <v>0</v>
      </c>
      <c r="AA430" s="10">
        <f t="shared" si="965"/>
        <v>0</v>
      </c>
      <c r="AB430" s="10">
        <f t="shared" si="965"/>
        <v>0</v>
      </c>
      <c r="AC430" s="168">
        <f t="shared" ref="AC430" si="966">AC379</f>
        <v>0</v>
      </c>
      <c r="AD430" s="168">
        <f>AD379</f>
        <v>0</v>
      </c>
      <c r="AE430" s="168">
        <f>AE379</f>
        <v>0</v>
      </c>
      <c r="AF430" s="168">
        <f t="shared" ref="AF430" si="967">AF379</f>
        <v>0</v>
      </c>
      <c r="AG430" s="10">
        <f t="shared" ref="AG430" si="968">AG379</f>
        <v>0</v>
      </c>
      <c r="AH430" s="10">
        <f>AH379</f>
        <v>0</v>
      </c>
      <c r="AI430" s="10">
        <f>AI379</f>
        <v>-242560</v>
      </c>
      <c r="AJ430" s="38">
        <f t="shared" ref="AJ430" si="969">AJ379</f>
        <v>0</v>
      </c>
      <c r="AK430" s="10">
        <f t="shared" ref="AK430:AU430" si="970">AK379</f>
        <v>0</v>
      </c>
      <c r="AL430" s="10">
        <f t="shared" si="970"/>
        <v>0</v>
      </c>
      <c r="AM430" s="10">
        <f t="shared" si="970"/>
        <v>0</v>
      </c>
      <c r="AN430" s="10">
        <f t="shared" si="970"/>
        <v>0</v>
      </c>
      <c r="AO430" s="10">
        <f t="shared" si="970"/>
        <v>0</v>
      </c>
      <c r="AP430" s="10">
        <f t="shared" si="970"/>
        <v>0</v>
      </c>
      <c r="AQ430" s="38">
        <f t="shared" si="970"/>
        <v>0</v>
      </c>
      <c r="AR430" s="10">
        <f t="shared" si="970"/>
        <v>0</v>
      </c>
      <c r="AS430" s="10">
        <f t="shared" si="970"/>
        <v>0</v>
      </c>
      <c r="AT430" s="10">
        <f t="shared" si="970"/>
        <v>0</v>
      </c>
      <c r="AU430" s="10">
        <f t="shared" si="970"/>
        <v>0</v>
      </c>
      <c r="AV430" s="10">
        <f>AV379</f>
        <v>172594</v>
      </c>
      <c r="AW430" s="10">
        <f>AW379</f>
        <v>0</v>
      </c>
      <c r="AX430" s="10">
        <f t="shared" ref="AX430:BE430" si="971">AX379</f>
        <v>0</v>
      </c>
      <c r="AY430" s="10">
        <f t="shared" si="971"/>
        <v>0</v>
      </c>
      <c r="AZ430" s="10">
        <f t="shared" si="971"/>
        <v>-6794282</v>
      </c>
      <c r="BA430" s="10">
        <f t="shared" si="971"/>
        <v>0</v>
      </c>
      <c r="BB430" s="10">
        <f t="shared" si="971"/>
        <v>0</v>
      </c>
      <c r="BC430" s="10">
        <f t="shared" si="971"/>
        <v>0</v>
      </c>
      <c r="BD430" s="10">
        <f t="shared" si="971"/>
        <v>0</v>
      </c>
      <c r="BE430" s="10">
        <f t="shared" si="971"/>
        <v>0</v>
      </c>
      <c r="BF430" s="10">
        <f>BF379</f>
        <v>0</v>
      </c>
    </row>
    <row r="431" spans="1:58" s="21" customFormat="1" ht="14.1" customHeight="1">
      <c r="A431" s="412">
        <f t="shared" si="896"/>
        <v>425</v>
      </c>
      <c r="B431" s="22" t="s">
        <v>381</v>
      </c>
      <c r="C431" s="38">
        <f>SUM(D431:BF431)</f>
        <v>-7735403.6299999999</v>
      </c>
      <c r="D431" s="38">
        <f>D388+D395+D402</f>
        <v>0</v>
      </c>
      <c r="E431" s="38">
        <f>E388+E395+E402</f>
        <v>0</v>
      </c>
      <c r="F431" s="10">
        <f t="shared" ref="F431" si="972">F388+F395+F402</f>
        <v>0</v>
      </c>
      <c r="G431" s="10">
        <f t="shared" ref="G431" si="973">G388+G395+G402</f>
        <v>0</v>
      </c>
      <c r="H431" s="10">
        <f t="shared" ref="H431:BE431" si="974">H388+H395+H402</f>
        <v>0</v>
      </c>
      <c r="I431" s="38">
        <f>I388+I395+I402</f>
        <v>0</v>
      </c>
      <c r="J431" s="10">
        <f>J388+J395+J402</f>
        <v>0</v>
      </c>
      <c r="K431" s="10">
        <f>K388+K395+K402</f>
        <v>0</v>
      </c>
      <c r="L431" s="10">
        <f t="shared" ref="L431" si="975">L388+L395+L402</f>
        <v>0</v>
      </c>
      <c r="M431" s="10">
        <f t="shared" ref="M431:AB431" si="976">M388+M395+M402</f>
        <v>-7060189</v>
      </c>
      <c r="N431" s="38">
        <f t="shared" si="976"/>
        <v>-246772</v>
      </c>
      <c r="O431" s="38">
        <f t="shared" si="976"/>
        <v>-303011</v>
      </c>
      <c r="P431" s="10">
        <f t="shared" si="976"/>
        <v>0</v>
      </c>
      <c r="Q431" s="10">
        <f t="shared" si="976"/>
        <v>0</v>
      </c>
      <c r="R431" s="10">
        <f t="shared" si="976"/>
        <v>0</v>
      </c>
      <c r="S431" s="38">
        <f t="shared" si="976"/>
        <v>0</v>
      </c>
      <c r="T431" s="10">
        <f t="shared" si="976"/>
        <v>0</v>
      </c>
      <c r="U431" s="10">
        <f t="shared" si="976"/>
        <v>0</v>
      </c>
      <c r="V431" s="10">
        <f t="shared" si="976"/>
        <v>0</v>
      </c>
      <c r="W431" s="10">
        <f t="shared" si="976"/>
        <v>0</v>
      </c>
      <c r="X431" s="10">
        <f t="shared" si="976"/>
        <v>-68555.320000000007</v>
      </c>
      <c r="Y431" s="10">
        <f t="shared" si="976"/>
        <v>1050.6900000000005</v>
      </c>
      <c r="Z431" s="10">
        <f t="shared" si="976"/>
        <v>0</v>
      </c>
      <c r="AA431" s="10">
        <f t="shared" si="976"/>
        <v>0</v>
      </c>
      <c r="AB431" s="10">
        <f t="shared" si="976"/>
        <v>0</v>
      </c>
      <c r="AC431" s="10">
        <f t="shared" ref="AC431" si="977">AC388+AC395+AC402</f>
        <v>0</v>
      </c>
      <c r="AD431" s="10">
        <f>AD388+AD395+AD402</f>
        <v>0</v>
      </c>
      <c r="AE431" s="10">
        <f>AE388+AE395+AE402</f>
        <v>0</v>
      </c>
      <c r="AF431" s="10">
        <f t="shared" ref="AF431" si="978">AF388+AF395+AF402</f>
        <v>0</v>
      </c>
      <c r="AG431" s="10">
        <f t="shared" ref="AG431" si="979">AG388+AG395+AG402</f>
        <v>0</v>
      </c>
      <c r="AH431" s="10">
        <f>AH388+AH395+AH402</f>
        <v>0</v>
      </c>
      <c r="AI431" s="10">
        <f>AI388+AI395+AI402</f>
        <v>-56712</v>
      </c>
      <c r="AJ431" s="38">
        <f t="shared" ref="AJ431" si="980">AJ388+AJ395+AJ402</f>
        <v>-1215</v>
      </c>
      <c r="AK431" s="10">
        <f t="shared" ref="AK431:AU431" si="981">AK388+AK395+AK402</f>
        <v>0</v>
      </c>
      <c r="AL431" s="10">
        <f t="shared" si="981"/>
        <v>0</v>
      </c>
      <c r="AM431" s="10">
        <f t="shared" si="981"/>
        <v>0</v>
      </c>
      <c r="AN431" s="10">
        <f t="shared" si="981"/>
        <v>0</v>
      </c>
      <c r="AO431" s="10">
        <f t="shared" si="981"/>
        <v>0</v>
      </c>
      <c r="AP431" s="10">
        <f t="shared" si="981"/>
        <v>0</v>
      </c>
      <c r="AQ431" s="38">
        <f t="shared" si="981"/>
        <v>0</v>
      </c>
      <c r="AR431" s="10">
        <f t="shared" si="981"/>
        <v>0</v>
      </c>
      <c r="AS431" s="10">
        <f t="shared" si="981"/>
        <v>0</v>
      </c>
      <c r="AT431" s="10">
        <f t="shared" si="981"/>
        <v>0</v>
      </c>
      <c r="AU431" s="10">
        <f t="shared" si="981"/>
        <v>0</v>
      </c>
      <c r="AV431" s="10">
        <f>AV388+AV395+AV402</f>
        <v>0</v>
      </c>
      <c r="AW431" s="10">
        <f>AW388+AW395+AW402</f>
        <v>0</v>
      </c>
      <c r="AX431" s="10">
        <f t="shared" si="974"/>
        <v>0</v>
      </c>
      <c r="AY431" s="10">
        <f t="shared" si="974"/>
        <v>0</v>
      </c>
      <c r="AZ431" s="10">
        <f t="shared" si="974"/>
        <v>0</v>
      </c>
      <c r="BA431" s="10">
        <f t="shared" si="974"/>
        <v>0</v>
      </c>
      <c r="BB431" s="10">
        <f t="shared" si="974"/>
        <v>0</v>
      </c>
      <c r="BC431" s="10">
        <f t="shared" si="974"/>
        <v>0</v>
      </c>
      <c r="BD431" s="10">
        <f t="shared" si="974"/>
        <v>0</v>
      </c>
      <c r="BE431" s="10">
        <f t="shared" si="974"/>
        <v>0</v>
      </c>
      <c r="BF431" s="10">
        <f>BF388+BF395+BF402</f>
        <v>0</v>
      </c>
    </row>
    <row r="432" spans="1:58" s="21" customFormat="1" ht="14.1" customHeight="1">
      <c r="A432" s="412">
        <f t="shared" si="896"/>
        <v>426</v>
      </c>
      <c r="B432" s="56" t="s">
        <v>382</v>
      </c>
      <c r="C432" s="38">
        <f>SUM(D432:BF432)</f>
        <v>-2302686.46</v>
      </c>
      <c r="D432" s="212">
        <f>D423</f>
        <v>0</v>
      </c>
      <c r="E432" s="212">
        <f>E423</f>
        <v>0</v>
      </c>
      <c r="F432" s="64">
        <f t="shared" ref="F432" si="982">F423</f>
        <v>0</v>
      </c>
      <c r="G432" s="64">
        <f t="shared" ref="G432" si="983">G423</f>
        <v>0</v>
      </c>
      <c r="H432" s="64">
        <f t="shared" ref="H432" si="984">H423</f>
        <v>0</v>
      </c>
      <c r="I432" s="212">
        <f>I423</f>
        <v>0</v>
      </c>
      <c r="J432" s="64">
        <f>J423</f>
        <v>0</v>
      </c>
      <c r="K432" s="64">
        <f>K423</f>
        <v>0</v>
      </c>
      <c r="L432" s="64">
        <f t="shared" ref="L432" si="985">L423</f>
        <v>0</v>
      </c>
      <c r="M432" s="10">
        <f>M389+M396+M403</f>
        <v>0</v>
      </c>
      <c r="N432" s="38">
        <f>N423</f>
        <v>0</v>
      </c>
      <c r="O432" s="212">
        <v>0</v>
      </c>
      <c r="P432" s="64">
        <f t="shared" ref="P432:AB432" si="986">P423</f>
        <v>0</v>
      </c>
      <c r="Q432" s="10">
        <f t="shared" si="986"/>
        <v>0</v>
      </c>
      <c r="R432" s="64">
        <f t="shared" si="986"/>
        <v>0</v>
      </c>
      <c r="S432" s="38">
        <f t="shared" si="986"/>
        <v>0</v>
      </c>
      <c r="T432" s="10">
        <f t="shared" si="986"/>
        <v>0</v>
      </c>
      <c r="U432" s="10">
        <f t="shared" si="986"/>
        <v>0</v>
      </c>
      <c r="V432" s="179">
        <f t="shared" si="986"/>
        <v>376599</v>
      </c>
      <c r="W432" s="179">
        <f t="shared" si="986"/>
        <v>-6656</v>
      </c>
      <c r="X432" s="179">
        <f t="shared" si="986"/>
        <v>-31889</v>
      </c>
      <c r="Y432" s="10">
        <f t="shared" si="986"/>
        <v>31204.649999999998</v>
      </c>
      <c r="Z432" s="10">
        <f t="shared" si="986"/>
        <v>148679</v>
      </c>
      <c r="AA432" s="179">
        <f t="shared" si="986"/>
        <v>429241</v>
      </c>
      <c r="AB432" s="10">
        <f t="shared" si="986"/>
        <v>0</v>
      </c>
      <c r="AC432" s="10">
        <f t="shared" ref="AC432" si="987">AC423</f>
        <v>0</v>
      </c>
      <c r="AD432" s="10">
        <f>AD423</f>
        <v>0</v>
      </c>
      <c r="AE432" s="10">
        <f>AE423</f>
        <v>0</v>
      </c>
      <c r="AF432" s="10">
        <f t="shared" ref="AF432" si="988">AF423</f>
        <v>0</v>
      </c>
      <c r="AG432" s="64">
        <f t="shared" ref="AG432" si="989">AG423</f>
        <v>0</v>
      </c>
      <c r="AH432" s="179">
        <f>AH423</f>
        <v>0</v>
      </c>
      <c r="AI432" s="64">
        <f>AI423</f>
        <v>-3236185</v>
      </c>
      <c r="AJ432" s="212">
        <f t="shared" ref="AJ432" si="990">AJ423</f>
        <v>-13680.11</v>
      </c>
      <c r="AK432" s="64">
        <f t="shared" ref="AK432:AU432" si="991">AK423</f>
        <v>0</v>
      </c>
      <c r="AL432" s="64">
        <f t="shared" si="991"/>
        <v>0</v>
      </c>
      <c r="AM432" s="10">
        <f t="shared" si="991"/>
        <v>0</v>
      </c>
      <c r="AN432" s="64">
        <f t="shared" si="991"/>
        <v>0</v>
      </c>
      <c r="AO432" s="64">
        <f t="shared" si="991"/>
        <v>0</v>
      </c>
      <c r="AP432" s="64">
        <f t="shared" si="991"/>
        <v>0</v>
      </c>
      <c r="AQ432" s="212">
        <f t="shared" si="991"/>
        <v>0</v>
      </c>
      <c r="AR432" s="64">
        <f t="shared" si="991"/>
        <v>0</v>
      </c>
      <c r="AS432" s="64">
        <f t="shared" si="991"/>
        <v>0</v>
      </c>
      <c r="AT432" s="64">
        <f t="shared" si="991"/>
        <v>0</v>
      </c>
      <c r="AU432" s="64">
        <f t="shared" si="991"/>
        <v>0</v>
      </c>
      <c r="AV432" s="64">
        <f>AV423</f>
        <v>0</v>
      </c>
      <c r="AW432" s="64">
        <f>AW423</f>
        <v>0</v>
      </c>
      <c r="AX432" s="64">
        <f t="shared" ref="AX432:BE432" si="992">AX423</f>
        <v>0</v>
      </c>
      <c r="AY432" s="64">
        <f t="shared" si="992"/>
        <v>0</v>
      </c>
      <c r="AZ432" s="64">
        <f t="shared" si="992"/>
        <v>0</v>
      </c>
      <c r="BA432" s="64">
        <f t="shared" si="992"/>
        <v>0</v>
      </c>
      <c r="BB432" s="64">
        <f t="shared" si="992"/>
        <v>0</v>
      </c>
      <c r="BC432" s="64">
        <f t="shared" si="992"/>
        <v>0</v>
      </c>
      <c r="BD432" s="64">
        <f t="shared" si="992"/>
        <v>0</v>
      </c>
      <c r="BE432" s="64">
        <f t="shared" si="992"/>
        <v>0</v>
      </c>
      <c r="BF432" s="64">
        <f>BF423</f>
        <v>0</v>
      </c>
    </row>
    <row r="433" spans="1:58" s="21" customFormat="1" ht="14.1" customHeight="1">
      <c r="A433" s="412">
        <f t="shared" si="896"/>
        <v>427</v>
      </c>
      <c r="B433" s="62" t="s">
        <v>517</v>
      </c>
      <c r="C433" s="182">
        <f>SUM(C428:C432)</f>
        <v>-31219422.620000001</v>
      </c>
      <c r="D433" s="215">
        <f>SUM(D428:D432)</f>
        <v>0</v>
      </c>
      <c r="E433" s="215">
        <f>SUM(E428:E432)</f>
        <v>53</v>
      </c>
      <c r="F433" s="64">
        <f t="shared" ref="F433" si="993">SUM(F428:F432)</f>
        <v>-3927716</v>
      </c>
      <c r="G433" s="64">
        <f t="shared" ref="G433" si="994">SUM(G428:G432)</f>
        <v>0</v>
      </c>
      <c r="H433" s="64">
        <f t="shared" ref="H433:BE433" si="995">SUM(H428:H432)</f>
        <v>-667402.98</v>
      </c>
      <c r="I433" s="212">
        <f>SUM(I428:I432)</f>
        <v>-5023081</v>
      </c>
      <c r="J433" s="183">
        <f>SUM(J428:J432)</f>
        <v>2211941.64</v>
      </c>
      <c r="K433" s="64">
        <f>SUM(K428:K432)</f>
        <v>173874.68</v>
      </c>
      <c r="L433" s="64">
        <f t="shared" ref="L433" si="996">SUM(L428:L432)</f>
        <v>372542</v>
      </c>
      <c r="M433" s="182">
        <f t="shared" ref="M433:AB433" si="997">SUM(M428:M432)</f>
        <v>-7060189</v>
      </c>
      <c r="N433" s="182">
        <f t="shared" si="997"/>
        <v>-246772</v>
      </c>
      <c r="O433" s="212">
        <f t="shared" si="997"/>
        <v>-303011</v>
      </c>
      <c r="P433" s="64">
        <f t="shared" si="997"/>
        <v>0</v>
      </c>
      <c r="Q433" s="182">
        <f t="shared" si="997"/>
        <v>-1931642</v>
      </c>
      <c r="R433" s="64">
        <f>SUM(R428:R432)</f>
        <v>5871000</v>
      </c>
      <c r="S433" s="182">
        <f t="shared" si="997"/>
        <v>0</v>
      </c>
      <c r="T433" s="182">
        <f t="shared" si="997"/>
        <v>595932</v>
      </c>
      <c r="U433" s="182">
        <f t="shared" si="997"/>
        <v>-346408</v>
      </c>
      <c r="V433" s="182">
        <f t="shared" si="997"/>
        <v>376599</v>
      </c>
      <c r="W433" s="182">
        <f t="shared" si="997"/>
        <v>-6656</v>
      </c>
      <c r="X433" s="182">
        <f t="shared" si="997"/>
        <v>-100444.32</v>
      </c>
      <c r="Y433" s="182">
        <f t="shared" si="997"/>
        <v>-40145.97</v>
      </c>
      <c r="Z433" s="182">
        <f t="shared" si="997"/>
        <v>148679</v>
      </c>
      <c r="AA433" s="182">
        <f t="shared" si="997"/>
        <v>429241</v>
      </c>
      <c r="AB433" s="182">
        <f t="shared" si="997"/>
        <v>-848165</v>
      </c>
      <c r="AC433" s="182">
        <f t="shared" ref="AC433" si="998">SUM(AC428:AC432)</f>
        <v>-11501584</v>
      </c>
      <c r="AD433" s="182">
        <f>SUM(AD428:AD432)</f>
        <v>882204</v>
      </c>
      <c r="AE433" s="182">
        <f>SUM(AE428:AE432)</f>
        <v>528754</v>
      </c>
      <c r="AF433" s="182">
        <f t="shared" ref="AF433" si="999">SUM(AF428:AF432)</f>
        <v>118606</v>
      </c>
      <c r="AG433" s="64">
        <f t="shared" ref="AG433" si="1000">SUM(AG428:AG432)</f>
        <v>0</v>
      </c>
      <c r="AH433" s="182">
        <f>SUM(AH428:AH432)</f>
        <v>-35433</v>
      </c>
      <c r="AI433" s="64">
        <f>SUM(AI428:AI432)</f>
        <v>-3979263</v>
      </c>
      <c r="AJ433" s="212">
        <f t="shared" ref="AJ433" si="1001">SUM(AJ428:AJ432)</f>
        <v>-14913.67</v>
      </c>
      <c r="AK433" s="64">
        <f t="shared" ref="AK433:AU433" si="1002">SUM(AK428:AK432)</f>
        <v>-274334</v>
      </c>
      <c r="AL433" s="64">
        <f t="shared" si="1002"/>
        <v>0</v>
      </c>
      <c r="AM433" s="182">
        <f t="shared" si="1002"/>
        <v>0</v>
      </c>
      <c r="AN433" s="64">
        <f t="shared" si="1002"/>
        <v>0</v>
      </c>
      <c r="AO433" s="64">
        <f t="shared" si="1002"/>
        <v>0</v>
      </c>
      <c r="AP433" s="64">
        <f t="shared" si="1002"/>
        <v>0</v>
      </c>
      <c r="AQ433" s="212">
        <f t="shared" si="1002"/>
        <v>0</v>
      </c>
      <c r="AR433" s="64">
        <f t="shared" si="1002"/>
        <v>0</v>
      </c>
      <c r="AS433" s="64">
        <f t="shared" si="1002"/>
        <v>0</v>
      </c>
      <c r="AT433" s="183">
        <f t="shared" si="1002"/>
        <v>0</v>
      </c>
      <c r="AU433" s="64">
        <f t="shared" si="1002"/>
        <v>0</v>
      </c>
      <c r="AV433" s="183">
        <f>SUM(AV428:AV432)</f>
        <v>172594</v>
      </c>
      <c r="AW433" s="64">
        <f>SUM(AW428:AW432)</f>
        <v>0</v>
      </c>
      <c r="AX433" s="64">
        <f t="shared" si="995"/>
        <v>0</v>
      </c>
      <c r="AY433" s="64">
        <f t="shared" si="995"/>
        <v>0</v>
      </c>
      <c r="AZ433" s="64">
        <f t="shared" si="995"/>
        <v>-6794282</v>
      </c>
      <c r="BA433" s="183">
        <f t="shared" si="995"/>
        <v>0</v>
      </c>
      <c r="BB433" s="64">
        <f t="shared" si="995"/>
        <v>0</v>
      </c>
      <c r="BC433" s="64">
        <f t="shared" si="995"/>
        <v>0</v>
      </c>
      <c r="BD433" s="64">
        <f t="shared" si="995"/>
        <v>0</v>
      </c>
      <c r="BE433" s="64">
        <f t="shared" si="995"/>
        <v>0</v>
      </c>
      <c r="BF433" s="64">
        <f>SUM(BF428:BF432)</f>
        <v>0</v>
      </c>
    </row>
    <row r="434" spans="1:58" s="21" customFormat="1" ht="14.1" customHeight="1" thickBot="1">
      <c r="A434" s="412">
        <f t="shared" si="896"/>
        <v>428</v>
      </c>
      <c r="B434" s="63" t="s">
        <v>518</v>
      </c>
      <c r="C434" s="186">
        <f>C433*0.125</f>
        <v>-3902427.8275000001</v>
      </c>
      <c r="D434" s="186">
        <f>D433*0.125</f>
        <v>0</v>
      </c>
      <c r="E434" s="186">
        <f>E433*0.125</f>
        <v>6.625</v>
      </c>
      <c r="F434" s="216">
        <f t="shared" ref="F434" si="1003">F433*0.125</f>
        <v>-490964.5</v>
      </c>
      <c r="G434" s="216">
        <f t="shared" ref="G434" si="1004">G433*0.125</f>
        <v>0</v>
      </c>
      <c r="H434" s="216">
        <f t="shared" ref="H434:BE434" si="1005">H433*0.125</f>
        <v>-83425.372499999998</v>
      </c>
      <c r="I434" s="186">
        <f>I433*0.125</f>
        <v>-627885.125</v>
      </c>
      <c r="J434" s="186">
        <f>J433*0.125</f>
        <v>276492.70500000002</v>
      </c>
      <c r="K434" s="216">
        <f>K433*0.125</f>
        <v>21734.334999999999</v>
      </c>
      <c r="L434" s="216">
        <f t="shared" ref="L434" si="1006">L433*0.125</f>
        <v>46567.75</v>
      </c>
      <c r="M434" s="186">
        <f t="shared" ref="M434:AB434" si="1007">M433*0.125</f>
        <v>-882523.625</v>
      </c>
      <c r="N434" s="186">
        <f t="shared" si="1007"/>
        <v>-30846.5</v>
      </c>
      <c r="O434" s="186">
        <f t="shared" si="1007"/>
        <v>-37876.375</v>
      </c>
      <c r="P434" s="186">
        <f t="shared" si="1007"/>
        <v>0</v>
      </c>
      <c r="Q434" s="186">
        <f t="shared" si="1007"/>
        <v>-241455.25</v>
      </c>
      <c r="R434" s="216">
        <f t="shared" si="1007"/>
        <v>733875</v>
      </c>
      <c r="S434" s="186">
        <f t="shared" si="1007"/>
        <v>0</v>
      </c>
      <c r="T434" s="186">
        <f t="shared" si="1007"/>
        <v>74491.5</v>
      </c>
      <c r="U434" s="186">
        <f t="shared" si="1007"/>
        <v>-43301</v>
      </c>
      <c r="V434" s="186">
        <f t="shared" si="1007"/>
        <v>47074.875</v>
      </c>
      <c r="W434" s="186">
        <f t="shared" si="1007"/>
        <v>-832</v>
      </c>
      <c r="X434" s="186">
        <f t="shared" si="1007"/>
        <v>-12555.54</v>
      </c>
      <c r="Y434" s="186">
        <f t="shared" si="1007"/>
        <v>-5018.2462500000001</v>
      </c>
      <c r="Z434" s="186">
        <f t="shared" si="1007"/>
        <v>18584.875</v>
      </c>
      <c r="AA434" s="186">
        <f t="shared" si="1007"/>
        <v>53655.125</v>
      </c>
      <c r="AB434" s="186">
        <f t="shared" si="1007"/>
        <v>-106020.625</v>
      </c>
      <c r="AC434" s="186">
        <f t="shared" ref="AC434" si="1008">AC433*0.125</f>
        <v>-1437698</v>
      </c>
      <c r="AD434" s="186">
        <f>AD433*0.125</f>
        <v>110275.5</v>
      </c>
      <c r="AE434" s="186">
        <f>AE433*0.125</f>
        <v>66094.25</v>
      </c>
      <c r="AF434" s="186">
        <f t="shared" ref="AF434" si="1009">AF433*0.125</f>
        <v>14825.75</v>
      </c>
      <c r="AG434" s="186">
        <f t="shared" ref="AG434" si="1010">AG433*0.125</f>
        <v>0</v>
      </c>
      <c r="AH434" s="186">
        <f>AH433*0.125</f>
        <v>-4429.125</v>
      </c>
      <c r="AI434" s="216">
        <f>AI433*0.125</f>
        <v>-497407.875</v>
      </c>
      <c r="AJ434" s="186">
        <f t="shared" ref="AJ434" si="1011">AJ433*0.125</f>
        <v>-1864.20875</v>
      </c>
      <c r="AK434" s="186">
        <f t="shared" ref="AK434:AU434" si="1012">AK433*0.125</f>
        <v>-34291.75</v>
      </c>
      <c r="AL434" s="186">
        <f t="shared" si="1012"/>
        <v>0</v>
      </c>
      <c r="AM434" s="186">
        <f t="shared" si="1012"/>
        <v>0</v>
      </c>
      <c r="AN434" s="216">
        <f t="shared" si="1012"/>
        <v>0</v>
      </c>
      <c r="AO434" s="216">
        <f t="shared" si="1012"/>
        <v>0</v>
      </c>
      <c r="AP434" s="216">
        <f t="shared" si="1012"/>
        <v>0</v>
      </c>
      <c r="AQ434" s="186">
        <f t="shared" si="1012"/>
        <v>0</v>
      </c>
      <c r="AR434" s="216">
        <f t="shared" si="1012"/>
        <v>0</v>
      </c>
      <c r="AS434" s="186">
        <f t="shared" si="1012"/>
        <v>0</v>
      </c>
      <c r="AT434" s="186">
        <f t="shared" si="1012"/>
        <v>0</v>
      </c>
      <c r="AU434" s="186">
        <f t="shared" si="1012"/>
        <v>0</v>
      </c>
      <c r="AV434" s="186">
        <f>AV433*0.125</f>
        <v>21574.25</v>
      </c>
      <c r="AW434" s="216">
        <f>AW433*0.125</f>
        <v>0</v>
      </c>
      <c r="AX434" s="216">
        <f t="shared" si="1005"/>
        <v>0</v>
      </c>
      <c r="AY434" s="186">
        <f t="shared" si="1005"/>
        <v>0</v>
      </c>
      <c r="AZ434" s="186">
        <f t="shared" si="1005"/>
        <v>-849285.25</v>
      </c>
      <c r="BA434" s="186">
        <f t="shared" si="1005"/>
        <v>0</v>
      </c>
      <c r="BB434" s="216">
        <f t="shared" si="1005"/>
        <v>0</v>
      </c>
      <c r="BC434" s="186">
        <f t="shared" si="1005"/>
        <v>0</v>
      </c>
      <c r="BD434" s="186">
        <f t="shared" si="1005"/>
        <v>0</v>
      </c>
      <c r="BE434" s="186">
        <f t="shared" si="1005"/>
        <v>0</v>
      </c>
      <c r="BF434" s="186">
        <f>BF433*0.125</f>
        <v>0</v>
      </c>
    </row>
    <row r="435" spans="1:58" s="21" customFormat="1" ht="14.1" customHeight="1" thickTop="1">
      <c r="A435" s="412">
        <f t="shared" si="896"/>
        <v>429</v>
      </c>
      <c r="B435" s="134"/>
      <c r="C435" s="134"/>
      <c r="D435" s="168"/>
      <c r="E435" s="168"/>
      <c r="F435" s="168"/>
      <c r="G435" s="168"/>
      <c r="H435" s="168"/>
      <c r="I435" s="168"/>
      <c r="J435" s="168"/>
      <c r="K435" s="168"/>
      <c r="L435" s="168"/>
      <c r="M435" s="168"/>
      <c r="N435" s="168"/>
      <c r="O435" s="168"/>
      <c r="P435" s="168"/>
      <c r="Q435" s="168"/>
      <c r="R435" s="168"/>
      <c r="S435" s="168"/>
      <c r="T435" s="168"/>
      <c r="U435" s="168"/>
      <c r="V435" s="168"/>
      <c r="W435" s="168"/>
      <c r="X435" s="168"/>
      <c r="Y435" s="168"/>
      <c r="Z435" s="168"/>
      <c r="AA435" s="168"/>
      <c r="AB435" s="168"/>
      <c r="AC435" s="168"/>
      <c r="AD435" s="168"/>
      <c r="AE435" s="168"/>
      <c r="AF435" s="168"/>
      <c r="AG435" s="168"/>
      <c r="AH435" s="168"/>
      <c r="AI435" s="168"/>
      <c r="AJ435" s="168"/>
      <c r="AK435" s="168"/>
      <c r="AL435" s="168"/>
      <c r="AM435" s="168"/>
      <c r="AN435" s="168"/>
      <c r="AO435" s="168"/>
      <c r="AP435" s="168"/>
      <c r="AQ435" s="168"/>
      <c r="AR435" s="168"/>
      <c r="AS435" s="168"/>
      <c r="AT435" s="168"/>
      <c r="AU435" s="168"/>
      <c r="AV435" s="168"/>
      <c r="AW435" s="168"/>
      <c r="AX435" s="168"/>
      <c r="AY435" s="168"/>
      <c r="AZ435" s="168"/>
      <c r="BA435" s="168"/>
      <c r="BB435" s="168"/>
      <c r="BC435" s="168"/>
      <c r="BD435" s="168"/>
      <c r="BE435" s="168"/>
      <c r="BF435" s="168"/>
    </row>
    <row r="436" spans="1:58" ht="14.1" customHeight="1">
      <c r="A436" s="412">
        <f t="shared" si="896"/>
        <v>430</v>
      </c>
      <c r="B436" s="13" t="s">
        <v>284</v>
      </c>
      <c r="C436" s="42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</row>
    <row r="437" spans="1:58" ht="14.1" customHeight="1">
      <c r="A437" s="412">
        <f t="shared" si="896"/>
        <v>431</v>
      </c>
      <c r="B437" s="22" t="s">
        <v>285</v>
      </c>
      <c r="C437" s="38">
        <f>SUM(D437:BF437)</f>
        <v>-8105235.8200000003</v>
      </c>
      <c r="D437" s="10">
        <v>0</v>
      </c>
      <c r="E437" s="10">
        <v>0</v>
      </c>
      <c r="F437" s="10">
        <v>-9192378</v>
      </c>
      <c r="G437" s="10">
        <v>0</v>
      </c>
      <c r="H437" s="10">
        <v>42028.18</v>
      </c>
      <c r="I437" s="10">
        <v>347890</v>
      </c>
      <c r="J437" s="10">
        <v>0</v>
      </c>
      <c r="K437" s="10">
        <v>0</v>
      </c>
      <c r="L437" s="10">
        <v>0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0</v>
      </c>
      <c r="T437" s="10">
        <v>0</v>
      </c>
      <c r="U437" s="10">
        <v>0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0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14275</v>
      </c>
      <c r="AH437" s="10">
        <v>0</v>
      </c>
      <c r="AI437" s="10">
        <v>0</v>
      </c>
      <c r="AJ437" s="10">
        <v>0</v>
      </c>
      <c r="AK437" s="10">
        <v>0</v>
      </c>
      <c r="AL437" s="436">
        <f>720591+669619</f>
        <v>1390210</v>
      </c>
      <c r="AM437" s="436">
        <f>3076557-3780000</f>
        <v>-703443</v>
      </c>
      <c r="AN437" s="10">
        <v>-3818</v>
      </c>
      <c r="AO437" s="10">
        <v>0</v>
      </c>
      <c r="AP437" s="10">
        <v>0</v>
      </c>
      <c r="AQ437" s="10">
        <v>0</v>
      </c>
      <c r="AR437" s="10">
        <v>0</v>
      </c>
      <c r="AS437" s="10">
        <v>0</v>
      </c>
      <c r="AT437" s="10">
        <v>0</v>
      </c>
      <c r="AU437" s="10">
        <v>0</v>
      </c>
      <c r="AV437" s="10">
        <v>0</v>
      </c>
      <c r="AW437" s="10">
        <v>0</v>
      </c>
      <c r="AX437" s="10">
        <v>0</v>
      </c>
      <c r="AY437" s="10">
        <v>0</v>
      </c>
      <c r="AZ437" s="10">
        <v>0</v>
      </c>
      <c r="BA437" s="10">
        <v>0</v>
      </c>
      <c r="BB437" s="10">
        <v>0</v>
      </c>
      <c r="BC437" s="10">
        <v>0</v>
      </c>
      <c r="BD437" s="10">
        <v>0</v>
      </c>
      <c r="BE437" s="10">
        <v>0</v>
      </c>
      <c r="BF437" s="10">
        <v>0</v>
      </c>
    </row>
    <row r="438" spans="1:58" s="22" customFormat="1" ht="14.1" customHeight="1">
      <c r="A438" s="412">
        <f t="shared" si="896"/>
        <v>432</v>
      </c>
      <c r="B438" s="22" t="s">
        <v>286</v>
      </c>
      <c r="C438" s="38">
        <f>SUM(D438:BF438)</f>
        <v>52403</v>
      </c>
      <c r="D438" s="43">
        <v>0</v>
      </c>
      <c r="E438" s="43">
        <v>0</v>
      </c>
      <c r="F438" s="43">
        <v>0</v>
      </c>
      <c r="G438" s="43">
        <v>0</v>
      </c>
      <c r="H438" s="43">
        <v>0</v>
      </c>
      <c r="I438" s="43">
        <v>0</v>
      </c>
      <c r="J438" s="43">
        <v>0</v>
      </c>
      <c r="K438" s="43">
        <v>0</v>
      </c>
      <c r="L438" s="43">
        <v>0</v>
      </c>
      <c r="M438" s="43">
        <v>0</v>
      </c>
      <c r="N438" s="43">
        <v>0</v>
      </c>
      <c r="O438" s="43">
        <v>0</v>
      </c>
      <c r="P438" s="43">
        <v>0</v>
      </c>
      <c r="Q438" s="43">
        <v>0</v>
      </c>
      <c r="R438" s="43">
        <v>0</v>
      </c>
      <c r="S438" s="43">
        <v>0</v>
      </c>
      <c r="T438" s="43">
        <v>0</v>
      </c>
      <c r="U438" s="43">
        <v>0</v>
      </c>
      <c r="V438" s="43">
        <v>0</v>
      </c>
      <c r="W438" s="43">
        <v>0</v>
      </c>
      <c r="X438" s="43">
        <v>0</v>
      </c>
      <c r="Y438" s="43">
        <v>0</v>
      </c>
      <c r="Z438" s="43">
        <v>0</v>
      </c>
      <c r="AA438" s="43">
        <v>0</v>
      </c>
      <c r="AB438" s="43">
        <v>0</v>
      </c>
      <c r="AC438" s="43">
        <v>0</v>
      </c>
      <c r="AD438" s="43">
        <v>0</v>
      </c>
      <c r="AE438" s="43">
        <v>0</v>
      </c>
      <c r="AF438" s="43">
        <v>0</v>
      </c>
      <c r="AG438" s="43">
        <v>0</v>
      </c>
      <c r="AH438" s="43">
        <v>0</v>
      </c>
      <c r="AI438" s="43">
        <v>0</v>
      </c>
      <c r="AJ438" s="43">
        <v>0</v>
      </c>
      <c r="AK438" s="43">
        <v>0</v>
      </c>
      <c r="AL438" s="43">
        <v>52403</v>
      </c>
      <c r="AM438" s="43">
        <v>0</v>
      </c>
      <c r="AN438" s="43">
        <v>0</v>
      </c>
      <c r="AO438" s="43">
        <v>0</v>
      </c>
      <c r="AP438" s="43">
        <v>0</v>
      </c>
      <c r="AQ438" s="43">
        <v>0</v>
      </c>
      <c r="AR438" s="43">
        <v>0</v>
      </c>
      <c r="AS438" s="43">
        <v>0</v>
      </c>
      <c r="AT438" s="43">
        <v>0</v>
      </c>
      <c r="AU438" s="43">
        <v>0</v>
      </c>
      <c r="AV438" s="43">
        <v>0</v>
      </c>
      <c r="AW438" s="43">
        <v>0</v>
      </c>
      <c r="AX438" s="43">
        <v>0</v>
      </c>
      <c r="AY438" s="43">
        <v>0</v>
      </c>
      <c r="AZ438" s="43">
        <v>0</v>
      </c>
      <c r="BA438" s="43">
        <v>0</v>
      </c>
      <c r="BB438" s="43">
        <v>0</v>
      </c>
      <c r="BC438" s="43">
        <v>0</v>
      </c>
      <c r="BD438" s="43">
        <v>0</v>
      </c>
      <c r="BE438" s="43">
        <v>0</v>
      </c>
      <c r="BF438" s="43">
        <v>0</v>
      </c>
    </row>
    <row r="439" spans="1:58" s="22" customFormat="1" ht="13.5" customHeight="1">
      <c r="A439" s="412">
        <f t="shared" si="896"/>
        <v>433</v>
      </c>
      <c r="B439" s="22" t="s">
        <v>287</v>
      </c>
      <c r="C439" s="38">
        <f>SUM(D439:BF439)</f>
        <v>0</v>
      </c>
      <c r="D439" s="43">
        <v>0</v>
      </c>
      <c r="E439" s="43">
        <v>0</v>
      </c>
      <c r="F439" s="43">
        <v>0</v>
      </c>
      <c r="G439" s="43">
        <v>0</v>
      </c>
      <c r="H439" s="43">
        <v>0</v>
      </c>
      <c r="I439" s="43">
        <v>0</v>
      </c>
      <c r="J439" s="43">
        <v>0</v>
      </c>
      <c r="K439" s="43">
        <v>0</v>
      </c>
      <c r="L439" s="43">
        <v>0</v>
      </c>
      <c r="M439" s="43">
        <v>0</v>
      </c>
      <c r="N439" s="43">
        <v>0</v>
      </c>
      <c r="O439" s="43">
        <v>0</v>
      </c>
      <c r="P439" s="43">
        <v>0</v>
      </c>
      <c r="Q439" s="43">
        <v>0</v>
      </c>
      <c r="R439" s="43">
        <v>0</v>
      </c>
      <c r="S439" s="43">
        <v>0</v>
      </c>
      <c r="T439" s="43">
        <v>0</v>
      </c>
      <c r="U439" s="43">
        <v>0</v>
      </c>
      <c r="V439" s="43">
        <v>0</v>
      </c>
      <c r="W439" s="43">
        <v>0</v>
      </c>
      <c r="X439" s="43">
        <v>0</v>
      </c>
      <c r="Y439" s="43">
        <v>0</v>
      </c>
      <c r="Z439" s="43">
        <v>0</v>
      </c>
      <c r="AA439" s="43">
        <v>0</v>
      </c>
      <c r="AB439" s="43">
        <v>0</v>
      </c>
      <c r="AC439" s="43">
        <v>0</v>
      </c>
      <c r="AD439" s="43">
        <v>0</v>
      </c>
      <c r="AE439" s="43">
        <v>0</v>
      </c>
      <c r="AF439" s="43">
        <v>0</v>
      </c>
      <c r="AG439" s="43">
        <v>0</v>
      </c>
      <c r="AH439" s="43">
        <v>0</v>
      </c>
      <c r="AI439" s="43">
        <v>0</v>
      </c>
      <c r="AJ439" s="43">
        <v>0</v>
      </c>
      <c r="AK439" s="43">
        <v>0</v>
      </c>
      <c r="AL439" s="43">
        <v>0</v>
      </c>
      <c r="AM439" s="43">
        <v>0</v>
      </c>
      <c r="AN439" s="43">
        <v>0</v>
      </c>
      <c r="AO439" s="43">
        <v>0</v>
      </c>
      <c r="AP439" s="43">
        <v>0</v>
      </c>
      <c r="AQ439" s="43">
        <v>0</v>
      </c>
      <c r="AR439" s="43">
        <v>0</v>
      </c>
      <c r="AS439" s="43">
        <v>0</v>
      </c>
      <c r="AT439" s="43">
        <v>0</v>
      </c>
      <c r="AU439" s="43">
        <v>0</v>
      </c>
      <c r="AV439" s="43">
        <v>0</v>
      </c>
      <c r="AW439" s="43">
        <v>0</v>
      </c>
      <c r="AX439" s="43">
        <v>0</v>
      </c>
      <c r="AY439" s="43">
        <v>0</v>
      </c>
      <c r="AZ439" s="43">
        <v>0</v>
      </c>
      <c r="BA439" s="43">
        <v>0</v>
      </c>
      <c r="BB439" s="43">
        <v>0</v>
      </c>
      <c r="BC439" s="43">
        <v>0</v>
      </c>
      <c r="BD439" s="43">
        <v>0</v>
      </c>
      <c r="BE439" s="43">
        <v>0</v>
      </c>
      <c r="BF439" s="43">
        <v>0</v>
      </c>
    </row>
    <row r="440" spans="1:58" s="22" customFormat="1" ht="14.1" customHeight="1">
      <c r="A440" s="412">
        <f t="shared" si="896"/>
        <v>434</v>
      </c>
      <c r="B440" s="22" t="s">
        <v>138</v>
      </c>
      <c r="C440" s="38">
        <f>SUM(D440:BF440)</f>
        <v>513467</v>
      </c>
      <c r="D440" s="43">
        <v>0</v>
      </c>
      <c r="E440" s="43">
        <v>0</v>
      </c>
      <c r="F440" s="43">
        <v>0</v>
      </c>
      <c r="G440" s="43">
        <v>0</v>
      </c>
      <c r="H440" s="43">
        <v>0</v>
      </c>
      <c r="I440" s="43">
        <v>0</v>
      </c>
      <c r="J440" s="43">
        <v>0</v>
      </c>
      <c r="K440" s="43">
        <v>0</v>
      </c>
      <c r="L440" s="43">
        <v>0</v>
      </c>
      <c r="M440" s="43">
        <v>0</v>
      </c>
      <c r="N440" s="43">
        <v>0</v>
      </c>
      <c r="O440" s="43">
        <v>0</v>
      </c>
      <c r="P440" s="43">
        <v>0</v>
      </c>
      <c r="Q440" s="43">
        <v>0</v>
      </c>
      <c r="R440" s="43">
        <v>0</v>
      </c>
      <c r="S440" s="43">
        <v>0</v>
      </c>
      <c r="T440" s="43">
        <v>0</v>
      </c>
      <c r="U440" s="43">
        <v>0</v>
      </c>
      <c r="V440" s="43">
        <v>0</v>
      </c>
      <c r="W440" s="43">
        <v>0</v>
      </c>
      <c r="X440" s="43">
        <v>0</v>
      </c>
      <c r="Y440" s="43">
        <v>0</v>
      </c>
      <c r="Z440" s="43">
        <v>0</v>
      </c>
      <c r="AA440" s="43">
        <v>0</v>
      </c>
      <c r="AB440" s="43">
        <v>0</v>
      </c>
      <c r="AC440" s="43">
        <v>0</v>
      </c>
      <c r="AD440" s="43">
        <v>0</v>
      </c>
      <c r="AE440" s="43">
        <v>0</v>
      </c>
      <c r="AF440" s="43">
        <v>0</v>
      </c>
      <c r="AG440" s="43">
        <v>0</v>
      </c>
      <c r="AH440" s="43">
        <v>0</v>
      </c>
      <c r="AI440" s="43">
        <v>0</v>
      </c>
      <c r="AJ440" s="43">
        <v>0</v>
      </c>
      <c r="AK440" s="43">
        <v>0</v>
      </c>
      <c r="AL440" s="43">
        <v>513467</v>
      </c>
      <c r="AM440" s="43">
        <v>0</v>
      </c>
      <c r="AN440" s="43">
        <v>0</v>
      </c>
      <c r="AO440" s="43">
        <v>0</v>
      </c>
      <c r="AP440" s="43">
        <v>0</v>
      </c>
      <c r="AQ440" s="43">
        <v>0</v>
      </c>
      <c r="AR440" s="43">
        <v>0</v>
      </c>
      <c r="AS440" s="43">
        <v>0</v>
      </c>
      <c r="AT440" s="43">
        <v>0</v>
      </c>
      <c r="AU440" s="43">
        <v>0</v>
      </c>
      <c r="AV440" s="43">
        <v>0</v>
      </c>
      <c r="AW440" s="43">
        <v>0</v>
      </c>
      <c r="AX440" s="43">
        <v>0</v>
      </c>
      <c r="AY440" s="43">
        <v>0</v>
      </c>
      <c r="AZ440" s="43">
        <v>0</v>
      </c>
      <c r="BA440" s="43">
        <v>0</v>
      </c>
      <c r="BB440" s="43">
        <v>0</v>
      </c>
      <c r="BC440" s="43">
        <v>0</v>
      </c>
      <c r="BD440" s="43">
        <v>0</v>
      </c>
      <c r="BE440" s="43">
        <v>0</v>
      </c>
      <c r="BF440" s="43">
        <v>0</v>
      </c>
    </row>
    <row r="441" spans="1:58" s="134" customFormat="1" ht="14.1" customHeight="1">
      <c r="A441" s="412">
        <f t="shared" si="896"/>
        <v>435</v>
      </c>
      <c r="B441" s="56" t="s">
        <v>139</v>
      </c>
      <c r="C441" s="212">
        <f>SUM(D441:BF441)</f>
        <v>81279</v>
      </c>
      <c r="D441" s="64">
        <v>0</v>
      </c>
      <c r="E441" s="64">
        <v>0</v>
      </c>
      <c r="F441" s="64">
        <v>0</v>
      </c>
      <c r="G441" s="64">
        <v>0</v>
      </c>
      <c r="H441" s="64">
        <v>0</v>
      </c>
      <c r="I441" s="64">
        <v>0</v>
      </c>
      <c r="J441" s="64">
        <v>0</v>
      </c>
      <c r="K441" s="64">
        <v>0</v>
      </c>
      <c r="L441" s="64">
        <v>0</v>
      </c>
      <c r="M441" s="64">
        <v>0</v>
      </c>
      <c r="N441" s="64">
        <v>0</v>
      </c>
      <c r="O441" s="64">
        <v>0</v>
      </c>
      <c r="P441" s="64">
        <v>0</v>
      </c>
      <c r="Q441" s="64">
        <v>0</v>
      </c>
      <c r="R441" s="64">
        <v>0</v>
      </c>
      <c r="S441" s="64">
        <v>0</v>
      </c>
      <c r="T441" s="64">
        <v>0</v>
      </c>
      <c r="U441" s="64">
        <v>0</v>
      </c>
      <c r="V441" s="64">
        <v>0</v>
      </c>
      <c r="W441" s="64">
        <v>0</v>
      </c>
      <c r="X441" s="64">
        <v>0</v>
      </c>
      <c r="Y441" s="64">
        <v>0</v>
      </c>
      <c r="Z441" s="64">
        <v>0</v>
      </c>
      <c r="AA441" s="64">
        <v>0</v>
      </c>
      <c r="AB441" s="64">
        <v>0</v>
      </c>
      <c r="AC441" s="64">
        <v>0</v>
      </c>
      <c r="AD441" s="64">
        <v>0</v>
      </c>
      <c r="AE441" s="64">
        <v>0</v>
      </c>
      <c r="AF441" s="64">
        <v>0</v>
      </c>
      <c r="AG441" s="64">
        <v>0</v>
      </c>
      <c r="AH441" s="64">
        <v>0</v>
      </c>
      <c r="AI441" s="64">
        <v>0</v>
      </c>
      <c r="AJ441" s="64">
        <v>0</v>
      </c>
      <c r="AK441" s="64">
        <v>0</v>
      </c>
      <c r="AL441" s="64">
        <v>81279</v>
      </c>
      <c r="AM441" s="64">
        <v>0</v>
      </c>
      <c r="AN441" s="64">
        <v>0</v>
      </c>
      <c r="AO441" s="64">
        <v>0</v>
      </c>
      <c r="AP441" s="64">
        <v>0</v>
      </c>
      <c r="AQ441" s="64">
        <v>0</v>
      </c>
      <c r="AR441" s="64">
        <v>0</v>
      </c>
      <c r="AS441" s="64">
        <v>0</v>
      </c>
      <c r="AT441" s="64">
        <v>0</v>
      </c>
      <c r="AU441" s="64">
        <v>0</v>
      </c>
      <c r="AV441" s="64">
        <v>0</v>
      </c>
      <c r="AW441" s="64">
        <v>0</v>
      </c>
      <c r="AX441" s="64">
        <v>0</v>
      </c>
      <c r="AY441" s="64">
        <v>0</v>
      </c>
      <c r="AZ441" s="64">
        <v>0</v>
      </c>
      <c r="BA441" s="64">
        <v>0</v>
      </c>
      <c r="BB441" s="64">
        <v>0</v>
      </c>
      <c r="BC441" s="64">
        <v>0</v>
      </c>
      <c r="BD441" s="64">
        <v>0</v>
      </c>
      <c r="BE441" s="64">
        <v>0</v>
      </c>
      <c r="BF441" s="64">
        <v>0</v>
      </c>
    </row>
    <row r="442" spans="1:58" ht="14.1" customHeight="1">
      <c r="A442" s="412">
        <f t="shared" si="896"/>
        <v>436</v>
      </c>
      <c r="B442" s="20" t="s">
        <v>519</v>
      </c>
      <c r="C442" s="16">
        <f>SUM(C437:C441)</f>
        <v>-7458086.8200000003</v>
      </c>
      <c r="D442" s="16">
        <f>SUM(D437:D441)</f>
        <v>0</v>
      </c>
      <c r="E442" s="16">
        <f>SUM(E437:E441)</f>
        <v>0</v>
      </c>
      <c r="F442" s="16">
        <f t="shared" ref="F442" si="1013">SUM(F437:F441)</f>
        <v>-9192378</v>
      </c>
      <c r="G442" s="16">
        <f t="shared" ref="G442" si="1014">SUM(G437:G441)</f>
        <v>0</v>
      </c>
      <c r="H442" s="16">
        <f t="shared" ref="H442:BE442" si="1015">SUM(H437:H441)</f>
        <v>42028.18</v>
      </c>
      <c r="I442" s="16">
        <f>SUM(I437:I441)</f>
        <v>347890</v>
      </c>
      <c r="J442" s="16">
        <f>SUM(J437:J441)</f>
        <v>0</v>
      </c>
      <c r="K442" s="16">
        <f>SUM(K437:K441)</f>
        <v>0</v>
      </c>
      <c r="L442" s="16">
        <f t="shared" ref="L442" si="1016">SUM(L437:L441)</f>
        <v>0</v>
      </c>
      <c r="M442" s="16">
        <f t="shared" ref="M442:AB442" si="1017">SUM(M437:M441)</f>
        <v>0</v>
      </c>
      <c r="N442" s="16">
        <f t="shared" si="1017"/>
        <v>0</v>
      </c>
      <c r="O442" s="16">
        <f t="shared" si="1017"/>
        <v>0</v>
      </c>
      <c r="P442" s="16">
        <f t="shared" si="1017"/>
        <v>0</v>
      </c>
      <c r="Q442" s="16">
        <f t="shared" si="1017"/>
        <v>0</v>
      </c>
      <c r="R442" s="16">
        <f t="shared" si="1017"/>
        <v>0</v>
      </c>
      <c r="S442" s="16">
        <f t="shared" si="1017"/>
        <v>0</v>
      </c>
      <c r="T442" s="16">
        <f t="shared" si="1017"/>
        <v>0</v>
      </c>
      <c r="U442" s="16">
        <f t="shared" si="1017"/>
        <v>0</v>
      </c>
      <c r="V442" s="16">
        <f t="shared" si="1017"/>
        <v>0</v>
      </c>
      <c r="W442" s="16">
        <f t="shared" si="1017"/>
        <v>0</v>
      </c>
      <c r="X442" s="16">
        <f t="shared" si="1017"/>
        <v>0</v>
      </c>
      <c r="Y442" s="16">
        <f t="shared" si="1017"/>
        <v>0</v>
      </c>
      <c r="Z442" s="16">
        <f t="shared" si="1017"/>
        <v>0</v>
      </c>
      <c r="AA442" s="16">
        <f t="shared" si="1017"/>
        <v>0</v>
      </c>
      <c r="AB442" s="16">
        <f t="shared" si="1017"/>
        <v>0</v>
      </c>
      <c r="AC442" s="16">
        <f t="shared" ref="AC442" si="1018">SUM(AC437:AC441)</f>
        <v>0</v>
      </c>
      <c r="AD442" s="16">
        <f>SUM(AD437:AD441)</f>
        <v>0</v>
      </c>
      <c r="AE442" s="16">
        <f>SUM(AE437:AE441)</f>
        <v>0</v>
      </c>
      <c r="AF442" s="16">
        <f t="shared" ref="AF442" si="1019">SUM(AF437:AF441)</f>
        <v>0</v>
      </c>
      <c r="AG442" s="16">
        <f t="shared" ref="AG442" si="1020">SUM(AG437:AG441)</f>
        <v>14275</v>
      </c>
      <c r="AH442" s="16">
        <f>SUM(AH437:AH441)</f>
        <v>0</v>
      </c>
      <c r="AI442" s="16">
        <f>SUM(AI437:AI441)</f>
        <v>0</v>
      </c>
      <c r="AJ442" s="16">
        <f t="shared" ref="AJ442" si="1021">SUM(AJ437:AJ441)</f>
        <v>0</v>
      </c>
      <c r="AK442" s="16">
        <f t="shared" ref="AK442:AU442" si="1022">SUM(AK437:AK441)</f>
        <v>0</v>
      </c>
      <c r="AL442" s="16">
        <f t="shared" si="1022"/>
        <v>2037359</v>
      </c>
      <c r="AM442" s="16">
        <f t="shared" si="1022"/>
        <v>-703443</v>
      </c>
      <c r="AN442" s="16">
        <f t="shared" si="1022"/>
        <v>-3818</v>
      </c>
      <c r="AO442" s="16">
        <f t="shared" si="1022"/>
        <v>0</v>
      </c>
      <c r="AP442" s="16">
        <f t="shared" si="1022"/>
        <v>0</v>
      </c>
      <c r="AQ442" s="16">
        <f t="shared" si="1022"/>
        <v>0</v>
      </c>
      <c r="AR442" s="16">
        <f t="shared" si="1022"/>
        <v>0</v>
      </c>
      <c r="AS442" s="16">
        <f t="shared" si="1022"/>
        <v>0</v>
      </c>
      <c r="AT442" s="16">
        <f t="shared" si="1022"/>
        <v>0</v>
      </c>
      <c r="AU442" s="16">
        <f t="shared" si="1022"/>
        <v>0</v>
      </c>
      <c r="AV442" s="16">
        <f>SUM(AV437:AV441)</f>
        <v>0</v>
      </c>
      <c r="AW442" s="16">
        <f>SUM(AW437:AW441)</f>
        <v>0</v>
      </c>
      <c r="AX442" s="16">
        <f t="shared" si="1015"/>
        <v>0</v>
      </c>
      <c r="AY442" s="16">
        <f t="shared" si="1015"/>
        <v>0</v>
      </c>
      <c r="AZ442" s="16">
        <f t="shared" si="1015"/>
        <v>0</v>
      </c>
      <c r="BA442" s="16">
        <f t="shared" si="1015"/>
        <v>0</v>
      </c>
      <c r="BB442" s="16">
        <f t="shared" si="1015"/>
        <v>0</v>
      </c>
      <c r="BC442" s="16">
        <f t="shared" si="1015"/>
        <v>0</v>
      </c>
      <c r="BD442" s="16">
        <f t="shared" si="1015"/>
        <v>0</v>
      </c>
      <c r="BE442" s="16">
        <f t="shared" si="1015"/>
        <v>0</v>
      </c>
      <c r="BF442" s="16">
        <f>SUM(BF437:BF441)</f>
        <v>0</v>
      </c>
    </row>
    <row r="443" spans="1:58" ht="14.1" customHeight="1">
      <c r="A443" s="412">
        <f t="shared" si="896"/>
        <v>437</v>
      </c>
      <c r="B443" s="134"/>
      <c r="C443" s="134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</row>
    <row r="444" spans="1:58" ht="14.1" customHeight="1">
      <c r="A444" s="412">
        <f t="shared" si="896"/>
        <v>438</v>
      </c>
      <c r="B444" s="13" t="s">
        <v>288</v>
      </c>
      <c r="C444" s="1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</row>
    <row r="445" spans="1:58" ht="14.1" customHeight="1">
      <c r="A445" s="412">
        <f t="shared" si="896"/>
        <v>439</v>
      </c>
      <c r="B445" s="22" t="s">
        <v>289</v>
      </c>
      <c r="C445" s="38">
        <f>SUM(D445:BF445)</f>
        <v>0</v>
      </c>
      <c r="D445" s="43">
        <v>0</v>
      </c>
      <c r="E445" s="43">
        <v>0</v>
      </c>
      <c r="F445" s="43">
        <v>0</v>
      </c>
      <c r="G445" s="43">
        <v>0</v>
      </c>
      <c r="H445" s="43">
        <v>0</v>
      </c>
      <c r="I445" s="43">
        <v>0</v>
      </c>
      <c r="J445" s="43">
        <v>0</v>
      </c>
      <c r="K445" s="43">
        <v>0</v>
      </c>
      <c r="L445" s="43">
        <v>0</v>
      </c>
      <c r="M445" s="43">
        <v>0</v>
      </c>
      <c r="N445" s="43">
        <v>0</v>
      </c>
      <c r="O445" s="43">
        <v>0</v>
      </c>
      <c r="P445" s="43">
        <v>0</v>
      </c>
      <c r="Q445" s="43">
        <v>0</v>
      </c>
      <c r="R445" s="43">
        <v>0</v>
      </c>
      <c r="S445" s="43">
        <v>0</v>
      </c>
      <c r="T445" s="43">
        <v>0</v>
      </c>
      <c r="U445" s="43">
        <v>0</v>
      </c>
      <c r="V445" s="43">
        <v>0</v>
      </c>
      <c r="W445" s="43">
        <v>0</v>
      </c>
      <c r="X445" s="43">
        <v>0</v>
      </c>
      <c r="Y445" s="43">
        <v>0</v>
      </c>
      <c r="Z445" s="43">
        <v>0</v>
      </c>
      <c r="AA445" s="43">
        <v>0</v>
      </c>
      <c r="AB445" s="43">
        <v>0</v>
      </c>
      <c r="AC445" s="43">
        <v>0</v>
      </c>
      <c r="AD445" s="43">
        <v>0</v>
      </c>
      <c r="AE445" s="43">
        <v>0</v>
      </c>
      <c r="AF445" s="43">
        <v>0</v>
      </c>
      <c r="AG445" s="43">
        <v>0</v>
      </c>
      <c r="AH445" s="43">
        <v>0</v>
      </c>
      <c r="AI445" s="43">
        <v>0</v>
      </c>
      <c r="AJ445" s="43">
        <v>0</v>
      </c>
      <c r="AK445" s="43">
        <v>0</v>
      </c>
      <c r="AL445" s="43">
        <v>0</v>
      </c>
      <c r="AM445" s="43">
        <v>0</v>
      </c>
      <c r="AN445" s="43">
        <v>0</v>
      </c>
      <c r="AO445" s="43">
        <v>0</v>
      </c>
      <c r="AP445" s="43">
        <v>0</v>
      </c>
      <c r="AQ445" s="43">
        <v>0</v>
      </c>
      <c r="AR445" s="43">
        <v>0</v>
      </c>
      <c r="AS445" s="43">
        <v>0</v>
      </c>
      <c r="AT445" s="43">
        <v>0</v>
      </c>
      <c r="AU445" s="43">
        <v>0</v>
      </c>
      <c r="AV445" s="43">
        <v>0</v>
      </c>
      <c r="AW445" s="43">
        <v>0</v>
      </c>
      <c r="AX445" s="43">
        <v>0</v>
      </c>
      <c r="AY445" s="43">
        <v>0</v>
      </c>
      <c r="AZ445" s="43">
        <v>0</v>
      </c>
      <c r="BA445" s="43">
        <v>0</v>
      </c>
      <c r="BB445" s="43">
        <v>0</v>
      </c>
      <c r="BC445" s="43">
        <v>0</v>
      </c>
      <c r="BD445" s="43">
        <v>0</v>
      </c>
      <c r="BE445" s="43">
        <v>0</v>
      </c>
      <c r="BF445" s="43">
        <v>0</v>
      </c>
    </row>
    <row r="446" spans="1:58" s="22" customFormat="1" ht="14.1" customHeight="1">
      <c r="A446" s="412">
        <f t="shared" si="896"/>
        <v>440</v>
      </c>
      <c r="B446" s="22" t="s">
        <v>149</v>
      </c>
      <c r="C446" s="38">
        <f>SUM(D446:BF446)</f>
        <v>0</v>
      </c>
      <c r="D446" s="43">
        <v>0</v>
      </c>
      <c r="E446" s="43">
        <v>0</v>
      </c>
      <c r="F446" s="43">
        <v>0</v>
      </c>
      <c r="G446" s="43">
        <v>0</v>
      </c>
      <c r="H446" s="43">
        <v>0</v>
      </c>
      <c r="I446" s="43">
        <v>0</v>
      </c>
      <c r="J446" s="43">
        <v>0</v>
      </c>
      <c r="K446" s="43">
        <v>0</v>
      </c>
      <c r="L446" s="43">
        <v>0</v>
      </c>
      <c r="M446" s="43">
        <v>0</v>
      </c>
      <c r="N446" s="43">
        <v>0</v>
      </c>
      <c r="O446" s="43">
        <v>0</v>
      </c>
      <c r="P446" s="43">
        <v>0</v>
      </c>
      <c r="Q446" s="43">
        <v>0</v>
      </c>
      <c r="R446" s="43">
        <v>0</v>
      </c>
      <c r="S446" s="43">
        <v>0</v>
      </c>
      <c r="T446" s="43">
        <v>0</v>
      </c>
      <c r="U446" s="43">
        <v>0</v>
      </c>
      <c r="V446" s="43">
        <v>0</v>
      </c>
      <c r="W446" s="43">
        <v>0</v>
      </c>
      <c r="X446" s="43">
        <v>0</v>
      </c>
      <c r="Y446" s="43">
        <v>0</v>
      </c>
      <c r="Z446" s="43">
        <v>0</v>
      </c>
      <c r="AA446" s="43">
        <v>0</v>
      </c>
      <c r="AB446" s="43">
        <v>0</v>
      </c>
      <c r="AC446" s="43">
        <v>0</v>
      </c>
      <c r="AD446" s="43">
        <v>0</v>
      </c>
      <c r="AE446" s="43">
        <v>0</v>
      </c>
      <c r="AF446" s="43">
        <v>0</v>
      </c>
      <c r="AG446" s="43">
        <v>0</v>
      </c>
      <c r="AH446" s="43">
        <v>0</v>
      </c>
      <c r="AI446" s="43">
        <v>0</v>
      </c>
      <c r="AJ446" s="43">
        <v>0</v>
      </c>
      <c r="AK446" s="43">
        <v>0</v>
      </c>
      <c r="AL446" s="43">
        <v>0</v>
      </c>
      <c r="AM446" s="43">
        <v>0</v>
      </c>
      <c r="AN446" s="43">
        <v>0</v>
      </c>
      <c r="AO446" s="43">
        <v>0</v>
      </c>
      <c r="AP446" s="43">
        <v>0</v>
      </c>
      <c r="AQ446" s="43">
        <v>0</v>
      </c>
      <c r="AR446" s="43">
        <v>0</v>
      </c>
      <c r="AS446" s="43">
        <v>0</v>
      </c>
      <c r="AT446" s="43">
        <v>0</v>
      </c>
      <c r="AU446" s="43">
        <v>0</v>
      </c>
      <c r="AV446" s="43">
        <v>0</v>
      </c>
      <c r="AW446" s="43">
        <v>0</v>
      </c>
      <c r="AX446" s="43">
        <v>0</v>
      </c>
      <c r="AY446" s="43">
        <v>0</v>
      </c>
      <c r="AZ446" s="43">
        <v>0</v>
      </c>
      <c r="BA446" s="43">
        <v>0</v>
      </c>
      <c r="BB446" s="43">
        <v>0</v>
      </c>
      <c r="BC446" s="43">
        <v>0</v>
      </c>
      <c r="BD446" s="43">
        <v>0</v>
      </c>
      <c r="BE446" s="43">
        <v>0</v>
      </c>
      <c r="BF446" s="43">
        <v>0</v>
      </c>
    </row>
    <row r="447" spans="1:58" s="22" customFormat="1" ht="14.1" customHeight="1">
      <c r="A447" s="412">
        <f t="shared" si="896"/>
        <v>441</v>
      </c>
      <c r="B447" s="22" t="s">
        <v>137</v>
      </c>
      <c r="C447" s="38">
        <f>SUM(D447:BF447)</f>
        <v>0</v>
      </c>
      <c r="D447" s="43">
        <v>0</v>
      </c>
      <c r="E447" s="43">
        <v>0</v>
      </c>
      <c r="F447" s="43">
        <v>0</v>
      </c>
      <c r="G447" s="43">
        <v>0</v>
      </c>
      <c r="H447" s="43">
        <v>0</v>
      </c>
      <c r="I447" s="43">
        <v>0</v>
      </c>
      <c r="J447" s="43">
        <v>0</v>
      </c>
      <c r="K447" s="43">
        <v>0</v>
      </c>
      <c r="L447" s="43">
        <v>0</v>
      </c>
      <c r="M447" s="43">
        <v>0</v>
      </c>
      <c r="N447" s="43">
        <v>0</v>
      </c>
      <c r="O447" s="43">
        <v>0</v>
      </c>
      <c r="P447" s="43">
        <v>0</v>
      </c>
      <c r="Q447" s="43">
        <v>0</v>
      </c>
      <c r="R447" s="43">
        <v>0</v>
      </c>
      <c r="S447" s="43">
        <v>0</v>
      </c>
      <c r="T447" s="43">
        <v>0</v>
      </c>
      <c r="U447" s="43">
        <v>0</v>
      </c>
      <c r="V447" s="43">
        <v>0</v>
      </c>
      <c r="W447" s="43">
        <v>0</v>
      </c>
      <c r="X447" s="43">
        <v>0</v>
      </c>
      <c r="Y447" s="43">
        <v>0</v>
      </c>
      <c r="Z447" s="43">
        <v>0</v>
      </c>
      <c r="AA447" s="43">
        <v>0</v>
      </c>
      <c r="AB447" s="43">
        <v>0</v>
      </c>
      <c r="AC447" s="43">
        <v>0</v>
      </c>
      <c r="AD447" s="43">
        <v>0</v>
      </c>
      <c r="AE447" s="43">
        <v>0</v>
      </c>
      <c r="AF447" s="43">
        <v>0</v>
      </c>
      <c r="AG447" s="43">
        <v>0</v>
      </c>
      <c r="AH447" s="43">
        <v>0</v>
      </c>
      <c r="AI447" s="43">
        <v>0</v>
      </c>
      <c r="AJ447" s="43">
        <v>0</v>
      </c>
      <c r="AK447" s="43">
        <v>0</v>
      </c>
      <c r="AL447" s="43">
        <v>0</v>
      </c>
      <c r="AM447" s="43">
        <v>0</v>
      </c>
      <c r="AN447" s="43">
        <v>0</v>
      </c>
      <c r="AO447" s="43">
        <v>0</v>
      </c>
      <c r="AP447" s="43">
        <v>0</v>
      </c>
      <c r="AQ447" s="43">
        <v>0</v>
      </c>
      <c r="AR447" s="43">
        <v>0</v>
      </c>
      <c r="AS447" s="43">
        <v>0</v>
      </c>
      <c r="AT447" s="43">
        <v>0</v>
      </c>
      <c r="AU447" s="43">
        <v>0</v>
      </c>
      <c r="AV447" s="43">
        <v>0</v>
      </c>
      <c r="AW447" s="43">
        <v>0</v>
      </c>
      <c r="AX447" s="43">
        <v>0</v>
      </c>
      <c r="AY447" s="43">
        <v>0</v>
      </c>
      <c r="AZ447" s="43">
        <v>0</v>
      </c>
      <c r="BA447" s="43">
        <v>0</v>
      </c>
      <c r="BB447" s="43">
        <v>0</v>
      </c>
      <c r="BC447" s="43">
        <v>0</v>
      </c>
      <c r="BD447" s="43">
        <v>0</v>
      </c>
      <c r="BE447" s="43">
        <v>0</v>
      </c>
      <c r="BF447" s="43">
        <v>0</v>
      </c>
    </row>
    <row r="448" spans="1:58" s="22" customFormat="1" ht="14.1" customHeight="1">
      <c r="A448" s="412">
        <f t="shared" si="896"/>
        <v>442</v>
      </c>
      <c r="B448" s="22" t="s">
        <v>150</v>
      </c>
      <c r="C448" s="38">
        <f>SUM(D448:BF448)</f>
        <v>0</v>
      </c>
      <c r="D448" s="43">
        <v>0</v>
      </c>
      <c r="E448" s="43">
        <v>0</v>
      </c>
      <c r="F448" s="43">
        <v>0</v>
      </c>
      <c r="G448" s="43">
        <v>0</v>
      </c>
      <c r="H448" s="43">
        <v>0</v>
      </c>
      <c r="I448" s="43">
        <v>0</v>
      </c>
      <c r="J448" s="43">
        <v>0</v>
      </c>
      <c r="K448" s="43">
        <v>0</v>
      </c>
      <c r="L448" s="43">
        <v>0</v>
      </c>
      <c r="M448" s="43">
        <v>0</v>
      </c>
      <c r="N448" s="43">
        <v>0</v>
      </c>
      <c r="O448" s="43">
        <v>0</v>
      </c>
      <c r="P448" s="43">
        <v>0</v>
      </c>
      <c r="Q448" s="43">
        <v>0</v>
      </c>
      <c r="R448" s="43">
        <v>0</v>
      </c>
      <c r="S448" s="43">
        <v>0</v>
      </c>
      <c r="T448" s="43">
        <v>0</v>
      </c>
      <c r="U448" s="43">
        <v>0</v>
      </c>
      <c r="V448" s="43">
        <v>0</v>
      </c>
      <c r="W448" s="43">
        <v>0</v>
      </c>
      <c r="X448" s="43">
        <v>0</v>
      </c>
      <c r="Y448" s="43">
        <v>0</v>
      </c>
      <c r="Z448" s="43">
        <v>0</v>
      </c>
      <c r="AA448" s="43">
        <v>0</v>
      </c>
      <c r="AB448" s="43">
        <v>0</v>
      </c>
      <c r="AC448" s="43">
        <v>0</v>
      </c>
      <c r="AD448" s="43">
        <v>0</v>
      </c>
      <c r="AE448" s="43">
        <v>0</v>
      </c>
      <c r="AF448" s="43">
        <v>0</v>
      </c>
      <c r="AG448" s="43">
        <v>0</v>
      </c>
      <c r="AH448" s="43">
        <v>0</v>
      </c>
      <c r="AI448" s="43">
        <v>0</v>
      </c>
      <c r="AJ448" s="43">
        <v>0</v>
      </c>
      <c r="AK448" s="43">
        <v>0</v>
      </c>
      <c r="AL448" s="43">
        <v>0</v>
      </c>
      <c r="AM448" s="43">
        <v>0</v>
      </c>
      <c r="AN448" s="43">
        <v>0</v>
      </c>
      <c r="AO448" s="43">
        <v>0</v>
      </c>
      <c r="AP448" s="43">
        <v>0</v>
      </c>
      <c r="AQ448" s="43">
        <v>0</v>
      </c>
      <c r="AR448" s="43">
        <v>0</v>
      </c>
      <c r="AS448" s="43">
        <v>0</v>
      </c>
      <c r="AT448" s="43">
        <v>0</v>
      </c>
      <c r="AU448" s="43">
        <v>0</v>
      </c>
      <c r="AV448" s="43">
        <v>0</v>
      </c>
      <c r="AW448" s="43">
        <v>0</v>
      </c>
      <c r="AX448" s="43">
        <v>0</v>
      </c>
      <c r="AY448" s="43">
        <v>0</v>
      </c>
      <c r="AZ448" s="43">
        <v>0</v>
      </c>
      <c r="BA448" s="43">
        <v>0</v>
      </c>
      <c r="BB448" s="43">
        <v>0</v>
      </c>
      <c r="BC448" s="43">
        <v>0</v>
      </c>
      <c r="BD448" s="43">
        <v>0</v>
      </c>
      <c r="BE448" s="43">
        <v>0</v>
      </c>
      <c r="BF448" s="43">
        <v>0</v>
      </c>
    </row>
    <row r="449" spans="1:58" s="22" customFormat="1" ht="14.1" customHeight="1">
      <c r="A449" s="412">
        <f t="shared" si="896"/>
        <v>443</v>
      </c>
      <c r="B449" s="56" t="s">
        <v>151</v>
      </c>
      <c r="C449" s="212">
        <f>SUM(D449:BF449)</f>
        <v>0</v>
      </c>
      <c r="D449" s="64">
        <v>0</v>
      </c>
      <c r="E449" s="64">
        <v>0</v>
      </c>
      <c r="F449" s="64">
        <v>0</v>
      </c>
      <c r="G449" s="64">
        <v>0</v>
      </c>
      <c r="H449" s="64">
        <v>0</v>
      </c>
      <c r="I449" s="64">
        <v>0</v>
      </c>
      <c r="J449" s="64">
        <v>0</v>
      </c>
      <c r="K449" s="64">
        <v>0</v>
      </c>
      <c r="L449" s="64">
        <v>0</v>
      </c>
      <c r="M449" s="64">
        <v>0</v>
      </c>
      <c r="N449" s="64">
        <v>0</v>
      </c>
      <c r="O449" s="64">
        <v>0</v>
      </c>
      <c r="P449" s="64">
        <v>0</v>
      </c>
      <c r="Q449" s="64">
        <v>0</v>
      </c>
      <c r="R449" s="64">
        <v>0</v>
      </c>
      <c r="S449" s="64">
        <v>0</v>
      </c>
      <c r="T449" s="64">
        <v>0</v>
      </c>
      <c r="U449" s="64">
        <v>0</v>
      </c>
      <c r="V449" s="64">
        <v>0</v>
      </c>
      <c r="W449" s="64">
        <v>0</v>
      </c>
      <c r="X449" s="64">
        <v>0</v>
      </c>
      <c r="Y449" s="64">
        <v>0</v>
      </c>
      <c r="Z449" s="64">
        <v>0</v>
      </c>
      <c r="AA449" s="64">
        <v>0</v>
      </c>
      <c r="AB449" s="64">
        <v>0</v>
      </c>
      <c r="AC449" s="64">
        <v>0</v>
      </c>
      <c r="AD449" s="64">
        <v>0</v>
      </c>
      <c r="AE449" s="64">
        <v>0</v>
      </c>
      <c r="AF449" s="64">
        <v>0</v>
      </c>
      <c r="AG449" s="64">
        <v>0</v>
      </c>
      <c r="AH449" s="64">
        <v>0</v>
      </c>
      <c r="AI449" s="64">
        <v>0</v>
      </c>
      <c r="AJ449" s="64">
        <v>0</v>
      </c>
      <c r="AK449" s="64">
        <v>0</v>
      </c>
      <c r="AL449" s="64">
        <v>0</v>
      </c>
      <c r="AM449" s="64">
        <v>0</v>
      </c>
      <c r="AN449" s="64">
        <v>0</v>
      </c>
      <c r="AO449" s="64">
        <v>0</v>
      </c>
      <c r="AP449" s="64">
        <v>0</v>
      </c>
      <c r="AQ449" s="64">
        <v>0</v>
      </c>
      <c r="AR449" s="64">
        <v>0</v>
      </c>
      <c r="AS449" s="64">
        <v>0</v>
      </c>
      <c r="AT449" s="64">
        <v>0</v>
      </c>
      <c r="AU449" s="64">
        <v>0</v>
      </c>
      <c r="AV449" s="64">
        <v>0</v>
      </c>
      <c r="AW449" s="64">
        <v>0</v>
      </c>
      <c r="AX449" s="64">
        <v>0</v>
      </c>
      <c r="AY449" s="64">
        <v>0</v>
      </c>
      <c r="AZ449" s="64">
        <v>0</v>
      </c>
      <c r="BA449" s="64">
        <v>0</v>
      </c>
      <c r="BB449" s="64">
        <v>0</v>
      </c>
      <c r="BC449" s="64">
        <v>0</v>
      </c>
      <c r="BD449" s="64">
        <v>0</v>
      </c>
      <c r="BE449" s="64">
        <v>0</v>
      </c>
      <c r="BF449" s="64">
        <v>0</v>
      </c>
    </row>
    <row r="450" spans="1:58" s="22" customFormat="1" ht="14.1" customHeight="1">
      <c r="A450" s="412">
        <f t="shared" si="896"/>
        <v>444</v>
      </c>
      <c r="B450" s="20" t="s">
        <v>520</v>
      </c>
      <c r="C450" s="16">
        <f>SUM(C445:C449)</f>
        <v>0</v>
      </c>
      <c r="D450" s="16">
        <f>SUM(D445:D449)</f>
        <v>0</v>
      </c>
      <c r="E450" s="16">
        <f>SUM(E445:E449)</f>
        <v>0</v>
      </c>
      <c r="F450" s="16">
        <f t="shared" ref="F450" si="1023">SUM(F445:F449)</f>
        <v>0</v>
      </c>
      <c r="G450" s="16">
        <f t="shared" ref="G450" si="1024">SUM(G445:G449)</f>
        <v>0</v>
      </c>
      <c r="H450" s="16">
        <f t="shared" ref="H450:BE450" si="1025">SUM(H445:H449)</f>
        <v>0</v>
      </c>
      <c r="I450" s="16">
        <f>SUM(I445:I449)</f>
        <v>0</v>
      </c>
      <c r="J450" s="16">
        <f>SUM(J445:J449)</f>
        <v>0</v>
      </c>
      <c r="K450" s="16">
        <f>SUM(K445:K449)</f>
        <v>0</v>
      </c>
      <c r="L450" s="16">
        <f t="shared" ref="L450" si="1026">SUM(L445:L449)</f>
        <v>0</v>
      </c>
      <c r="M450" s="16">
        <f t="shared" ref="M450:AB450" si="1027">SUM(M445:M449)</f>
        <v>0</v>
      </c>
      <c r="N450" s="16">
        <f t="shared" si="1027"/>
        <v>0</v>
      </c>
      <c r="O450" s="16">
        <f t="shared" si="1027"/>
        <v>0</v>
      </c>
      <c r="P450" s="16">
        <f t="shared" si="1027"/>
        <v>0</v>
      </c>
      <c r="Q450" s="16">
        <f t="shared" si="1027"/>
        <v>0</v>
      </c>
      <c r="R450" s="16">
        <f t="shared" si="1027"/>
        <v>0</v>
      </c>
      <c r="S450" s="16">
        <f t="shared" si="1027"/>
        <v>0</v>
      </c>
      <c r="T450" s="16">
        <f t="shared" si="1027"/>
        <v>0</v>
      </c>
      <c r="U450" s="16">
        <f t="shared" si="1027"/>
        <v>0</v>
      </c>
      <c r="V450" s="16">
        <f t="shared" si="1027"/>
        <v>0</v>
      </c>
      <c r="W450" s="16">
        <f t="shared" si="1027"/>
        <v>0</v>
      </c>
      <c r="X450" s="16">
        <f t="shared" si="1027"/>
        <v>0</v>
      </c>
      <c r="Y450" s="16">
        <f t="shared" si="1027"/>
        <v>0</v>
      </c>
      <c r="Z450" s="16">
        <f t="shared" si="1027"/>
        <v>0</v>
      </c>
      <c r="AA450" s="16">
        <f t="shared" si="1027"/>
        <v>0</v>
      </c>
      <c r="AB450" s="16">
        <f t="shared" si="1027"/>
        <v>0</v>
      </c>
      <c r="AC450" s="16">
        <f t="shared" ref="AC450" si="1028">SUM(AC445:AC449)</f>
        <v>0</v>
      </c>
      <c r="AD450" s="16">
        <f>SUM(AD445:AD449)</f>
        <v>0</v>
      </c>
      <c r="AE450" s="16">
        <f>SUM(AE445:AE449)</f>
        <v>0</v>
      </c>
      <c r="AF450" s="16">
        <f t="shared" ref="AF450" si="1029">SUM(AF445:AF449)</f>
        <v>0</v>
      </c>
      <c r="AG450" s="16">
        <f t="shared" ref="AG450" si="1030">SUM(AG445:AG449)</f>
        <v>0</v>
      </c>
      <c r="AH450" s="16">
        <f>SUM(AH445:AH449)</f>
        <v>0</v>
      </c>
      <c r="AI450" s="16">
        <f>SUM(AI445:AI449)</f>
        <v>0</v>
      </c>
      <c r="AJ450" s="16">
        <f t="shared" ref="AJ450" si="1031">SUM(AJ445:AJ449)</f>
        <v>0</v>
      </c>
      <c r="AK450" s="16">
        <f t="shared" ref="AK450:AU450" si="1032">SUM(AK445:AK449)</f>
        <v>0</v>
      </c>
      <c r="AL450" s="16">
        <f t="shared" si="1032"/>
        <v>0</v>
      </c>
      <c r="AM450" s="16">
        <f t="shared" si="1032"/>
        <v>0</v>
      </c>
      <c r="AN450" s="16">
        <f t="shared" si="1032"/>
        <v>0</v>
      </c>
      <c r="AO450" s="16">
        <f t="shared" si="1032"/>
        <v>0</v>
      </c>
      <c r="AP450" s="16">
        <f t="shared" si="1032"/>
        <v>0</v>
      </c>
      <c r="AQ450" s="16">
        <f t="shared" si="1032"/>
        <v>0</v>
      </c>
      <c r="AR450" s="16">
        <f t="shared" si="1032"/>
        <v>0</v>
      </c>
      <c r="AS450" s="16">
        <f t="shared" si="1032"/>
        <v>0</v>
      </c>
      <c r="AT450" s="16">
        <f t="shared" si="1032"/>
        <v>0</v>
      </c>
      <c r="AU450" s="16">
        <f t="shared" si="1032"/>
        <v>0</v>
      </c>
      <c r="AV450" s="16">
        <f>SUM(AV445:AV449)</f>
        <v>0</v>
      </c>
      <c r="AW450" s="16">
        <f>SUM(AW445:AW449)</f>
        <v>0</v>
      </c>
      <c r="AX450" s="16">
        <f t="shared" si="1025"/>
        <v>0</v>
      </c>
      <c r="AY450" s="16">
        <f t="shared" si="1025"/>
        <v>0</v>
      </c>
      <c r="AZ450" s="16">
        <f t="shared" si="1025"/>
        <v>0</v>
      </c>
      <c r="BA450" s="16">
        <f t="shared" si="1025"/>
        <v>0</v>
      </c>
      <c r="BB450" s="16">
        <f t="shared" si="1025"/>
        <v>0</v>
      </c>
      <c r="BC450" s="16">
        <f t="shared" si="1025"/>
        <v>0</v>
      </c>
      <c r="BD450" s="16">
        <f t="shared" si="1025"/>
        <v>0</v>
      </c>
      <c r="BE450" s="16">
        <f t="shared" si="1025"/>
        <v>0</v>
      </c>
      <c r="BF450" s="16">
        <f>SUM(BF445:BF449)</f>
        <v>0</v>
      </c>
    </row>
    <row r="451" spans="1:58" s="22" customFormat="1" ht="14.1" customHeight="1">
      <c r="A451" s="412">
        <f t="shared" si="896"/>
        <v>445</v>
      </c>
      <c r="B451" s="169"/>
      <c r="C451" s="169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</row>
    <row r="452" spans="1:58" s="22" customFormat="1" ht="14.1" customHeight="1">
      <c r="A452" s="412">
        <f t="shared" si="896"/>
        <v>446</v>
      </c>
      <c r="B452" s="20" t="s">
        <v>290</v>
      </c>
      <c r="C452" s="20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</row>
    <row r="453" spans="1:58" s="22" customFormat="1" ht="14.1" customHeight="1">
      <c r="A453" s="412">
        <f t="shared" si="896"/>
        <v>447</v>
      </c>
      <c r="B453" s="57" t="s">
        <v>324</v>
      </c>
      <c r="C453" s="212">
        <f>SUM(D453:BF453)</f>
        <v>-1987451</v>
      </c>
      <c r="D453" s="64">
        <v>0</v>
      </c>
      <c r="E453" s="64">
        <v>-1987451</v>
      </c>
      <c r="F453" s="64">
        <v>0</v>
      </c>
      <c r="G453" s="64">
        <v>0</v>
      </c>
      <c r="H453" s="64">
        <v>0</v>
      </c>
      <c r="I453" s="64">
        <v>0</v>
      </c>
      <c r="J453" s="64">
        <v>0</v>
      </c>
      <c r="K453" s="64">
        <v>0</v>
      </c>
      <c r="L453" s="64">
        <v>0</v>
      </c>
      <c r="M453" s="64">
        <v>0</v>
      </c>
      <c r="N453" s="64">
        <v>0</v>
      </c>
      <c r="O453" s="64">
        <v>0</v>
      </c>
      <c r="P453" s="64">
        <v>0</v>
      </c>
      <c r="Q453" s="64">
        <v>0</v>
      </c>
      <c r="R453" s="64">
        <v>0</v>
      </c>
      <c r="S453" s="64">
        <v>0</v>
      </c>
      <c r="T453" s="64">
        <v>0</v>
      </c>
      <c r="U453" s="64">
        <v>0</v>
      </c>
      <c r="V453" s="64">
        <v>0</v>
      </c>
      <c r="W453" s="64">
        <v>0</v>
      </c>
      <c r="X453" s="64">
        <v>0</v>
      </c>
      <c r="Y453" s="64">
        <v>0</v>
      </c>
      <c r="Z453" s="64">
        <v>0</v>
      </c>
      <c r="AA453" s="64">
        <v>0</v>
      </c>
      <c r="AB453" s="64">
        <v>0</v>
      </c>
      <c r="AC453" s="64">
        <v>0</v>
      </c>
      <c r="AD453" s="64">
        <v>0</v>
      </c>
      <c r="AE453" s="64">
        <v>0</v>
      </c>
      <c r="AF453" s="64">
        <v>0</v>
      </c>
      <c r="AG453" s="64">
        <v>0</v>
      </c>
      <c r="AH453" s="64">
        <v>0</v>
      </c>
      <c r="AI453" s="64">
        <v>0</v>
      </c>
      <c r="AJ453" s="64">
        <v>0</v>
      </c>
      <c r="AK453" s="64">
        <v>0</v>
      </c>
      <c r="AL453" s="64">
        <v>0</v>
      </c>
      <c r="AM453" s="64">
        <v>0</v>
      </c>
      <c r="AN453" s="64">
        <v>0</v>
      </c>
      <c r="AO453" s="64">
        <v>0</v>
      </c>
      <c r="AP453" s="64">
        <v>0</v>
      </c>
      <c r="AQ453" s="64">
        <v>0</v>
      </c>
      <c r="AR453" s="64">
        <v>0</v>
      </c>
      <c r="AS453" s="64">
        <v>0</v>
      </c>
      <c r="AT453" s="64">
        <v>0</v>
      </c>
      <c r="AU453" s="64">
        <v>0</v>
      </c>
      <c r="AV453" s="64">
        <v>0</v>
      </c>
      <c r="AW453" s="64">
        <v>0</v>
      </c>
      <c r="AX453" s="64">
        <v>0</v>
      </c>
      <c r="AY453" s="64">
        <v>0</v>
      </c>
      <c r="AZ453" s="64">
        <v>0</v>
      </c>
      <c r="BA453" s="64">
        <v>0</v>
      </c>
      <c r="BB453" s="64">
        <v>0</v>
      </c>
      <c r="BC453" s="64">
        <v>0</v>
      </c>
      <c r="BD453" s="64">
        <v>0</v>
      </c>
      <c r="BE453" s="64">
        <v>0</v>
      </c>
      <c r="BF453" s="64">
        <v>0</v>
      </c>
    </row>
    <row r="454" spans="1:58" s="22" customFormat="1" ht="14.1" customHeight="1">
      <c r="A454" s="412">
        <f t="shared" si="896"/>
        <v>448</v>
      </c>
      <c r="B454" s="20" t="s">
        <v>521</v>
      </c>
      <c r="C454" s="43">
        <f>SUM(C453:C453)</f>
        <v>-1987451</v>
      </c>
      <c r="D454" s="43">
        <f>SUM(D453:D453)</f>
        <v>0</v>
      </c>
      <c r="E454" s="43">
        <f>SUM(E453:E453)</f>
        <v>-1987451</v>
      </c>
      <c r="F454" s="43">
        <f t="shared" ref="F454" si="1033">SUM(F453:F453)</f>
        <v>0</v>
      </c>
      <c r="G454" s="43">
        <f t="shared" ref="G454" si="1034">SUM(G453:G453)</f>
        <v>0</v>
      </c>
      <c r="H454" s="43">
        <f t="shared" ref="H454:BE454" si="1035">SUM(H453:H453)</f>
        <v>0</v>
      </c>
      <c r="I454" s="43">
        <f>SUM(I453:I453)</f>
        <v>0</v>
      </c>
      <c r="J454" s="43">
        <f>SUM(J453:J453)</f>
        <v>0</v>
      </c>
      <c r="K454" s="43">
        <f>SUM(K453:K453)</f>
        <v>0</v>
      </c>
      <c r="L454" s="43">
        <f t="shared" ref="L454" si="1036">SUM(L453:L453)</f>
        <v>0</v>
      </c>
      <c r="M454" s="43">
        <f t="shared" ref="M454:AB454" si="1037">SUM(M453:M453)</f>
        <v>0</v>
      </c>
      <c r="N454" s="43">
        <f t="shared" si="1037"/>
        <v>0</v>
      </c>
      <c r="O454" s="43">
        <f t="shared" si="1037"/>
        <v>0</v>
      </c>
      <c r="P454" s="43">
        <f t="shared" si="1037"/>
        <v>0</v>
      </c>
      <c r="Q454" s="43">
        <f t="shared" si="1037"/>
        <v>0</v>
      </c>
      <c r="R454" s="43">
        <f t="shared" si="1037"/>
        <v>0</v>
      </c>
      <c r="S454" s="43">
        <f t="shared" si="1037"/>
        <v>0</v>
      </c>
      <c r="T454" s="43">
        <f t="shared" si="1037"/>
        <v>0</v>
      </c>
      <c r="U454" s="43">
        <f t="shared" si="1037"/>
        <v>0</v>
      </c>
      <c r="V454" s="43">
        <f t="shared" si="1037"/>
        <v>0</v>
      </c>
      <c r="W454" s="43">
        <f t="shared" si="1037"/>
        <v>0</v>
      </c>
      <c r="X454" s="43">
        <f t="shared" si="1037"/>
        <v>0</v>
      </c>
      <c r="Y454" s="43">
        <f t="shared" si="1037"/>
        <v>0</v>
      </c>
      <c r="Z454" s="43">
        <f t="shared" si="1037"/>
        <v>0</v>
      </c>
      <c r="AA454" s="43">
        <f t="shared" si="1037"/>
        <v>0</v>
      </c>
      <c r="AB454" s="43">
        <f t="shared" si="1037"/>
        <v>0</v>
      </c>
      <c r="AC454" s="43">
        <f t="shared" ref="AC454" si="1038">SUM(AC453:AC453)</f>
        <v>0</v>
      </c>
      <c r="AD454" s="43">
        <f>SUM(AD453:AD453)</f>
        <v>0</v>
      </c>
      <c r="AE454" s="43">
        <f>SUM(AE453:AE453)</f>
        <v>0</v>
      </c>
      <c r="AF454" s="43">
        <f t="shared" ref="AF454" si="1039">SUM(AF453:AF453)</f>
        <v>0</v>
      </c>
      <c r="AG454" s="43">
        <f t="shared" ref="AG454" si="1040">SUM(AG453:AG453)</f>
        <v>0</v>
      </c>
      <c r="AH454" s="43">
        <f>SUM(AH453:AH453)</f>
        <v>0</v>
      </c>
      <c r="AI454" s="43">
        <f>SUM(AI453:AI453)</f>
        <v>0</v>
      </c>
      <c r="AJ454" s="43">
        <f t="shared" ref="AJ454" si="1041">SUM(AJ453:AJ453)</f>
        <v>0</v>
      </c>
      <c r="AK454" s="43">
        <f t="shared" ref="AK454:AU454" si="1042">SUM(AK453:AK453)</f>
        <v>0</v>
      </c>
      <c r="AL454" s="43">
        <f t="shared" si="1042"/>
        <v>0</v>
      </c>
      <c r="AM454" s="43">
        <f t="shared" si="1042"/>
        <v>0</v>
      </c>
      <c r="AN454" s="43">
        <f t="shared" si="1042"/>
        <v>0</v>
      </c>
      <c r="AO454" s="43">
        <f t="shared" si="1042"/>
        <v>0</v>
      </c>
      <c r="AP454" s="43">
        <f t="shared" si="1042"/>
        <v>0</v>
      </c>
      <c r="AQ454" s="43">
        <f t="shared" si="1042"/>
        <v>0</v>
      </c>
      <c r="AR454" s="43">
        <f t="shared" si="1042"/>
        <v>0</v>
      </c>
      <c r="AS454" s="43">
        <f t="shared" si="1042"/>
        <v>0</v>
      </c>
      <c r="AT454" s="43">
        <f t="shared" si="1042"/>
        <v>0</v>
      </c>
      <c r="AU454" s="43">
        <f t="shared" si="1042"/>
        <v>0</v>
      </c>
      <c r="AV454" s="43">
        <f>SUM(AV453:AV453)</f>
        <v>0</v>
      </c>
      <c r="AW454" s="43">
        <f>SUM(AW453:AW453)</f>
        <v>0</v>
      </c>
      <c r="AX454" s="43">
        <f t="shared" si="1035"/>
        <v>0</v>
      </c>
      <c r="AY454" s="43">
        <f t="shared" si="1035"/>
        <v>0</v>
      </c>
      <c r="AZ454" s="43">
        <f t="shared" si="1035"/>
        <v>0</v>
      </c>
      <c r="BA454" s="43">
        <f t="shared" si="1035"/>
        <v>0</v>
      </c>
      <c r="BB454" s="43">
        <f t="shared" si="1035"/>
        <v>0</v>
      </c>
      <c r="BC454" s="43">
        <f t="shared" si="1035"/>
        <v>0</v>
      </c>
      <c r="BD454" s="43">
        <f t="shared" si="1035"/>
        <v>0</v>
      </c>
      <c r="BE454" s="43">
        <f t="shared" si="1035"/>
        <v>0</v>
      </c>
      <c r="BF454" s="43">
        <f>SUM(BF453:BF453)</f>
        <v>0</v>
      </c>
    </row>
    <row r="455" spans="1:58" s="22" customFormat="1" ht="14.1" customHeight="1">
      <c r="A455" s="412">
        <f t="shared" si="896"/>
        <v>449</v>
      </c>
      <c r="B455" s="57"/>
      <c r="C455" s="57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  <c r="AE455" s="64"/>
      <c r="AF455" s="64"/>
      <c r="AG455" s="64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  <c r="AV455" s="64"/>
      <c r="AW455" s="64"/>
      <c r="AX455" s="64"/>
      <c r="AY455" s="64"/>
      <c r="AZ455" s="64"/>
      <c r="BA455" s="64"/>
      <c r="BB455" s="64"/>
      <c r="BC455" s="64"/>
      <c r="BD455" s="64"/>
      <c r="BE455" s="64"/>
      <c r="BF455" s="64"/>
    </row>
    <row r="456" spans="1:58" s="22" customFormat="1" ht="14.1" customHeight="1" thickBot="1">
      <c r="A456" s="412">
        <f t="shared" si="896"/>
        <v>450</v>
      </c>
      <c r="B456" s="59" t="s">
        <v>522</v>
      </c>
      <c r="C456" s="93">
        <f>C442+C450+C454</f>
        <v>-9445537.8200000003</v>
      </c>
      <c r="D456" s="93">
        <f>D442+D450+D454</f>
        <v>0</v>
      </c>
      <c r="E456" s="93">
        <f>E442+E450+E454</f>
        <v>-1987451</v>
      </c>
      <c r="F456" s="93">
        <f t="shared" ref="F456" si="1043">F442+F450+F454</f>
        <v>-9192378</v>
      </c>
      <c r="G456" s="93">
        <f t="shared" ref="G456" si="1044">G442+G450+G454</f>
        <v>0</v>
      </c>
      <c r="H456" s="93">
        <f t="shared" ref="H456:BE456" si="1045">H442+H450+H454</f>
        <v>42028.18</v>
      </c>
      <c r="I456" s="93">
        <f>I442+I450+I454</f>
        <v>347890</v>
      </c>
      <c r="J456" s="93">
        <f>J442+J450+J454</f>
        <v>0</v>
      </c>
      <c r="K456" s="93">
        <f>K442+K450+K454</f>
        <v>0</v>
      </c>
      <c r="L456" s="93">
        <f t="shared" ref="L456" si="1046">L442+L450+L454</f>
        <v>0</v>
      </c>
      <c r="M456" s="93">
        <f t="shared" ref="M456:AB456" si="1047">M442+M450+M454</f>
        <v>0</v>
      </c>
      <c r="N456" s="93">
        <f t="shared" si="1047"/>
        <v>0</v>
      </c>
      <c r="O456" s="93">
        <f t="shared" si="1047"/>
        <v>0</v>
      </c>
      <c r="P456" s="93">
        <f t="shared" si="1047"/>
        <v>0</v>
      </c>
      <c r="Q456" s="93">
        <f t="shared" si="1047"/>
        <v>0</v>
      </c>
      <c r="R456" s="93">
        <f t="shared" si="1047"/>
        <v>0</v>
      </c>
      <c r="S456" s="93">
        <f t="shared" si="1047"/>
        <v>0</v>
      </c>
      <c r="T456" s="93">
        <f t="shared" si="1047"/>
        <v>0</v>
      </c>
      <c r="U456" s="93">
        <f t="shared" si="1047"/>
        <v>0</v>
      </c>
      <c r="V456" s="93">
        <f t="shared" si="1047"/>
        <v>0</v>
      </c>
      <c r="W456" s="93">
        <f t="shared" si="1047"/>
        <v>0</v>
      </c>
      <c r="X456" s="93">
        <f t="shared" si="1047"/>
        <v>0</v>
      </c>
      <c r="Y456" s="93">
        <f t="shared" si="1047"/>
        <v>0</v>
      </c>
      <c r="Z456" s="93">
        <f t="shared" si="1047"/>
        <v>0</v>
      </c>
      <c r="AA456" s="93">
        <f t="shared" si="1047"/>
        <v>0</v>
      </c>
      <c r="AB456" s="93">
        <f t="shared" si="1047"/>
        <v>0</v>
      </c>
      <c r="AC456" s="93">
        <f t="shared" ref="AC456" si="1048">AC442+AC450+AC454</f>
        <v>0</v>
      </c>
      <c r="AD456" s="93">
        <f>AD442+AD450+AD454</f>
        <v>0</v>
      </c>
      <c r="AE456" s="93">
        <f>AE442+AE450+AE454</f>
        <v>0</v>
      </c>
      <c r="AF456" s="93">
        <f t="shared" ref="AF456" si="1049">AF442+AF450+AF454</f>
        <v>0</v>
      </c>
      <c r="AG456" s="93">
        <f t="shared" ref="AG456" si="1050">AG442+AG450+AG454</f>
        <v>14275</v>
      </c>
      <c r="AH456" s="93">
        <f>AH442+AH450+AH454</f>
        <v>0</v>
      </c>
      <c r="AI456" s="93">
        <f>AI442+AI450+AI454</f>
        <v>0</v>
      </c>
      <c r="AJ456" s="93">
        <f t="shared" ref="AJ456" si="1051">AJ442+AJ450+AJ454</f>
        <v>0</v>
      </c>
      <c r="AK456" s="93">
        <f t="shared" ref="AK456:AU456" si="1052">AK442+AK450+AK454</f>
        <v>0</v>
      </c>
      <c r="AL456" s="93">
        <f t="shared" si="1052"/>
        <v>2037359</v>
      </c>
      <c r="AM456" s="93">
        <f t="shared" si="1052"/>
        <v>-703443</v>
      </c>
      <c r="AN456" s="93">
        <f t="shared" si="1052"/>
        <v>-3818</v>
      </c>
      <c r="AO456" s="93">
        <f t="shared" si="1052"/>
        <v>0</v>
      </c>
      <c r="AP456" s="93">
        <f t="shared" si="1052"/>
        <v>0</v>
      </c>
      <c r="AQ456" s="93">
        <f t="shared" si="1052"/>
        <v>0</v>
      </c>
      <c r="AR456" s="93">
        <f t="shared" si="1052"/>
        <v>0</v>
      </c>
      <c r="AS456" s="93">
        <f t="shared" si="1052"/>
        <v>0</v>
      </c>
      <c r="AT456" s="93">
        <f t="shared" si="1052"/>
        <v>0</v>
      </c>
      <c r="AU456" s="93">
        <f t="shared" si="1052"/>
        <v>0</v>
      </c>
      <c r="AV456" s="93">
        <f>AV442+AV450+AV454</f>
        <v>0</v>
      </c>
      <c r="AW456" s="93">
        <f>AW442+AW450+AW454</f>
        <v>0</v>
      </c>
      <c r="AX456" s="93">
        <f t="shared" si="1045"/>
        <v>0</v>
      </c>
      <c r="AY456" s="93">
        <f t="shared" si="1045"/>
        <v>0</v>
      </c>
      <c r="AZ456" s="93">
        <f t="shared" si="1045"/>
        <v>0</v>
      </c>
      <c r="BA456" s="93">
        <f t="shared" si="1045"/>
        <v>0</v>
      </c>
      <c r="BB456" s="93">
        <f t="shared" si="1045"/>
        <v>0</v>
      </c>
      <c r="BC456" s="93">
        <f t="shared" si="1045"/>
        <v>0</v>
      </c>
      <c r="BD456" s="93">
        <f t="shared" si="1045"/>
        <v>0</v>
      </c>
      <c r="BE456" s="93">
        <f t="shared" si="1045"/>
        <v>0</v>
      </c>
      <c r="BF456" s="93">
        <f>BF442+BF450+BF454</f>
        <v>0</v>
      </c>
    </row>
    <row r="457" spans="1:58" ht="14.1" customHeight="1" thickTop="1">
      <c r="A457" s="412">
        <f t="shared" si="896"/>
        <v>451</v>
      </c>
      <c r="B457" s="134"/>
      <c r="C457" s="134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</row>
    <row r="458" spans="1:58" ht="14.1" customHeight="1">
      <c r="A458" s="412">
        <f t="shared" si="896"/>
        <v>452</v>
      </c>
      <c r="B458" s="20" t="s">
        <v>291</v>
      </c>
      <c r="C458" s="20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</row>
    <row r="459" spans="1:58" ht="14.1" customHeight="1">
      <c r="A459" s="412">
        <f t="shared" si="896"/>
        <v>453</v>
      </c>
      <c r="B459" s="13" t="s">
        <v>292</v>
      </c>
      <c r="C459" s="1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</row>
    <row r="460" spans="1:58" ht="14.1" customHeight="1">
      <c r="A460" s="412">
        <f t="shared" si="896"/>
        <v>454</v>
      </c>
      <c r="B460" s="22" t="s">
        <v>293</v>
      </c>
      <c r="C460" s="38">
        <f>SUM(D460:BF460)</f>
        <v>-31025</v>
      </c>
      <c r="D460" s="43">
        <v>0</v>
      </c>
      <c r="E460" s="43">
        <v>0</v>
      </c>
      <c r="F460" s="43">
        <v>0</v>
      </c>
      <c r="G460" s="43">
        <v>0</v>
      </c>
      <c r="H460" s="43">
        <v>0</v>
      </c>
      <c r="I460" s="43">
        <v>0</v>
      </c>
      <c r="J460" s="43">
        <v>0</v>
      </c>
      <c r="K460" s="43">
        <v>0</v>
      </c>
      <c r="L460" s="43">
        <v>0</v>
      </c>
      <c r="M460" s="43">
        <v>0</v>
      </c>
      <c r="N460" s="43">
        <v>0</v>
      </c>
      <c r="O460" s="43">
        <v>0</v>
      </c>
      <c r="P460" s="43">
        <v>0</v>
      </c>
      <c r="Q460" s="43">
        <v>0</v>
      </c>
      <c r="R460" s="43">
        <v>0</v>
      </c>
      <c r="S460" s="43">
        <v>0</v>
      </c>
      <c r="T460" s="43">
        <v>0</v>
      </c>
      <c r="U460" s="43">
        <v>0</v>
      </c>
      <c r="V460" s="43">
        <v>0</v>
      </c>
      <c r="W460" s="43">
        <v>0</v>
      </c>
      <c r="X460" s="43">
        <v>0</v>
      </c>
      <c r="Y460" s="43">
        <v>0</v>
      </c>
      <c r="Z460" s="43">
        <v>0</v>
      </c>
      <c r="AA460" s="43">
        <v>0</v>
      </c>
      <c r="AB460" s="43">
        <v>0</v>
      </c>
      <c r="AC460" s="43">
        <v>0</v>
      </c>
      <c r="AD460" s="43">
        <v>0</v>
      </c>
      <c r="AE460" s="43">
        <v>0</v>
      </c>
      <c r="AF460" s="43">
        <v>0</v>
      </c>
      <c r="AG460" s="43">
        <v>0</v>
      </c>
      <c r="AH460" s="43">
        <v>2363</v>
      </c>
      <c r="AI460" s="43">
        <f>-11520+-47877+26009</f>
        <v>-33388</v>
      </c>
      <c r="AJ460" s="43">
        <v>0</v>
      </c>
      <c r="AK460" s="43">
        <v>0</v>
      </c>
      <c r="AL460" s="43">
        <v>0</v>
      </c>
      <c r="AM460" s="43">
        <v>0</v>
      </c>
      <c r="AN460" s="43">
        <v>0</v>
      </c>
      <c r="AO460" s="43">
        <v>0</v>
      </c>
      <c r="AP460" s="43">
        <v>0</v>
      </c>
      <c r="AQ460" s="43">
        <v>0</v>
      </c>
      <c r="AR460" s="43">
        <v>0</v>
      </c>
      <c r="AS460" s="43">
        <v>0</v>
      </c>
      <c r="AT460" s="43">
        <v>0</v>
      </c>
      <c r="AU460" s="43">
        <v>0</v>
      </c>
      <c r="AV460" s="43">
        <v>0</v>
      </c>
      <c r="AW460" s="43">
        <v>0</v>
      </c>
      <c r="AX460" s="43">
        <v>0</v>
      </c>
      <c r="AY460" s="43">
        <v>0</v>
      </c>
      <c r="AZ460" s="43">
        <v>0</v>
      </c>
      <c r="BA460" s="43">
        <v>0</v>
      </c>
      <c r="BB460" s="43">
        <v>0</v>
      </c>
      <c r="BC460" s="43">
        <v>0</v>
      </c>
      <c r="BD460" s="43">
        <v>0</v>
      </c>
      <c r="BE460" s="43">
        <v>0</v>
      </c>
      <c r="BF460" s="43">
        <v>0</v>
      </c>
    </row>
    <row r="461" spans="1:58" ht="14.1" customHeight="1">
      <c r="A461" s="412">
        <f t="shared" ref="A461:A500" si="1053">+A460+1</f>
        <v>455</v>
      </c>
      <c r="B461" s="22" t="s">
        <v>294</v>
      </c>
      <c r="C461" s="38">
        <f>SUM(D461:BF461)</f>
        <v>0</v>
      </c>
      <c r="D461" s="43">
        <v>0</v>
      </c>
      <c r="E461" s="43">
        <v>0</v>
      </c>
      <c r="F461" s="43">
        <v>0</v>
      </c>
      <c r="G461" s="43">
        <v>0</v>
      </c>
      <c r="H461" s="43">
        <v>0</v>
      </c>
      <c r="I461" s="43">
        <v>0</v>
      </c>
      <c r="J461" s="43">
        <v>0</v>
      </c>
      <c r="K461" s="43">
        <v>0</v>
      </c>
      <c r="L461" s="43">
        <v>0</v>
      </c>
      <c r="M461" s="43">
        <v>0</v>
      </c>
      <c r="N461" s="43">
        <v>0</v>
      </c>
      <c r="O461" s="43">
        <v>0</v>
      </c>
      <c r="P461" s="43">
        <v>0</v>
      </c>
      <c r="Q461" s="43">
        <v>0</v>
      </c>
      <c r="R461" s="43">
        <v>0</v>
      </c>
      <c r="S461" s="43">
        <v>0</v>
      </c>
      <c r="T461" s="43">
        <v>0</v>
      </c>
      <c r="U461" s="43">
        <v>0</v>
      </c>
      <c r="V461" s="43">
        <v>0</v>
      </c>
      <c r="W461" s="43">
        <v>0</v>
      </c>
      <c r="X461" s="43">
        <v>0</v>
      </c>
      <c r="Y461" s="43">
        <v>0</v>
      </c>
      <c r="Z461" s="43">
        <v>0</v>
      </c>
      <c r="AA461" s="43">
        <v>0</v>
      </c>
      <c r="AB461" s="43">
        <v>0</v>
      </c>
      <c r="AC461" s="43">
        <v>0</v>
      </c>
      <c r="AD461" s="43">
        <v>0</v>
      </c>
      <c r="AE461" s="43">
        <v>0</v>
      </c>
      <c r="AF461" s="43">
        <v>0</v>
      </c>
      <c r="AG461" s="43">
        <v>0</v>
      </c>
      <c r="AH461" s="43">
        <v>0</v>
      </c>
      <c r="AI461" s="43">
        <v>0</v>
      </c>
      <c r="AJ461" s="43">
        <v>0</v>
      </c>
      <c r="AK461" s="43">
        <v>0</v>
      </c>
      <c r="AL461" s="43">
        <v>0</v>
      </c>
      <c r="AM461" s="43">
        <v>0</v>
      </c>
      <c r="AN461" s="43">
        <v>0</v>
      </c>
      <c r="AO461" s="43">
        <v>0</v>
      </c>
      <c r="AP461" s="43">
        <v>0</v>
      </c>
      <c r="AQ461" s="43">
        <v>0</v>
      </c>
      <c r="AR461" s="43">
        <v>0</v>
      </c>
      <c r="AS461" s="43">
        <v>0</v>
      </c>
      <c r="AT461" s="43">
        <v>0</v>
      </c>
      <c r="AU461" s="43">
        <v>0</v>
      </c>
      <c r="AV461" s="43">
        <v>0</v>
      </c>
      <c r="AW461" s="43">
        <v>0</v>
      </c>
      <c r="AX461" s="43">
        <v>0</v>
      </c>
      <c r="AY461" s="43">
        <v>0</v>
      </c>
      <c r="AZ461" s="43">
        <v>0</v>
      </c>
      <c r="BA461" s="43">
        <v>0</v>
      </c>
      <c r="BB461" s="43">
        <v>0</v>
      </c>
      <c r="BC461" s="43">
        <v>0</v>
      </c>
      <c r="BD461" s="43">
        <v>0</v>
      </c>
      <c r="BE461" s="43">
        <v>0</v>
      </c>
      <c r="BF461" s="43">
        <v>0</v>
      </c>
    </row>
    <row r="462" spans="1:58" ht="14.1" customHeight="1">
      <c r="A462" s="412">
        <f t="shared" si="1053"/>
        <v>456</v>
      </c>
      <c r="B462" s="56" t="s">
        <v>295</v>
      </c>
      <c r="C462" s="38">
        <f>SUM(D462:BF462)</f>
        <v>0</v>
      </c>
      <c r="D462" s="43">
        <v>0</v>
      </c>
      <c r="E462" s="43">
        <v>0</v>
      </c>
      <c r="F462" s="43">
        <v>0</v>
      </c>
      <c r="G462" s="43">
        <v>0</v>
      </c>
      <c r="H462" s="43">
        <v>0</v>
      </c>
      <c r="I462" s="43">
        <v>0</v>
      </c>
      <c r="J462" s="43">
        <v>0</v>
      </c>
      <c r="K462" s="43">
        <v>0</v>
      </c>
      <c r="L462" s="43">
        <v>0</v>
      </c>
      <c r="M462" s="43">
        <v>0</v>
      </c>
      <c r="N462" s="43">
        <v>0</v>
      </c>
      <c r="O462" s="43">
        <v>0</v>
      </c>
      <c r="P462" s="43">
        <v>0</v>
      </c>
      <c r="Q462" s="43">
        <v>0</v>
      </c>
      <c r="R462" s="43">
        <v>0</v>
      </c>
      <c r="S462" s="43">
        <v>0</v>
      </c>
      <c r="T462" s="43">
        <v>0</v>
      </c>
      <c r="U462" s="43">
        <v>0</v>
      </c>
      <c r="V462" s="43">
        <v>0</v>
      </c>
      <c r="W462" s="43">
        <v>0</v>
      </c>
      <c r="X462" s="43">
        <v>0</v>
      </c>
      <c r="Y462" s="43">
        <v>0</v>
      </c>
      <c r="Z462" s="43">
        <v>0</v>
      </c>
      <c r="AA462" s="43">
        <v>0</v>
      </c>
      <c r="AB462" s="43">
        <v>0</v>
      </c>
      <c r="AC462" s="43">
        <v>0</v>
      </c>
      <c r="AD462" s="43">
        <v>0</v>
      </c>
      <c r="AE462" s="43">
        <v>0</v>
      </c>
      <c r="AF462" s="43">
        <v>0</v>
      </c>
      <c r="AG462" s="43">
        <v>0</v>
      </c>
      <c r="AH462" s="43">
        <v>0</v>
      </c>
      <c r="AI462" s="43">
        <v>0</v>
      </c>
      <c r="AJ462" s="43">
        <v>0</v>
      </c>
      <c r="AK462" s="43">
        <v>0</v>
      </c>
      <c r="AL462" s="43">
        <v>0</v>
      </c>
      <c r="AM462" s="43">
        <v>0</v>
      </c>
      <c r="AN462" s="43">
        <v>0</v>
      </c>
      <c r="AO462" s="43">
        <v>0</v>
      </c>
      <c r="AP462" s="43">
        <v>0</v>
      </c>
      <c r="AQ462" s="43">
        <v>0</v>
      </c>
      <c r="AR462" s="43">
        <v>0</v>
      </c>
      <c r="AS462" s="43">
        <v>0</v>
      </c>
      <c r="AT462" s="43">
        <v>0</v>
      </c>
      <c r="AU462" s="43">
        <v>0</v>
      </c>
      <c r="AV462" s="43">
        <v>0</v>
      </c>
      <c r="AW462" s="43">
        <v>0</v>
      </c>
      <c r="AX462" s="43">
        <v>0</v>
      </c>
      <c r="AY462" s="43">
        <v>0</v>
      </c>
      <c r="AZ462" s="43">
        <v>0</v>
      </c>
      <c r="BA462" s="43">
        <v>0</v>
      </c>
      <c r="BB462" s="43">
        <v>0</v>
      </c>
      <c r="BC462" s="43">
        <v>0</v>
      </c>
      <c r="BD462" s="43">
        <v>0</v>
      </c>
      <c r="BE462" s="43">
        <v>0</v>
      </c>
      <c r="BF462" s="43">
        <v>0</v>
      </c>
    </row>
    <row r="463" spans="1:58" ht="14.1" customHeight="1">
      <c r="A463" s="412">
        <f t="shared" si="1053"/>
        <v>457</v>
      </c>
      <c r="B463" s="20" t="s">
        <v>523</v>
      </c>
      <c r="C463" s="86">
        <f>SUM(C460:C462)</f>
        <v>-31025</v>
      </c>
      <c r="D463" s="86">
        <f>SUM(D460:D462)</f>
        <v>0</v>
      </c>
      <c r="E463" s="86">
        <f>SUM(E460:E462)</f>
        <v>0</v>
      </c>
      <c r="F463" s="86">
        <f t="shared" ref="F463" si="1054">SUM(F460:F462)</f>
        <v>0</v>
      </c>
      <c r="G463" s="86">
        <f t="shared" ref="G463" si="1055">SUM(G460:G462)</f>
        <v>0</v>
      </c>
      <c r="H463" s="86">
        <f t="shared" ref="H463:BE463" si="1056">SUM(H460:H462)</f>
        <v>0</v>
      </c>
      <c r="I463" s="86">
        <f>SUM(I460:I462)</f>
        <v>0</v>
      </c>
      <c r="J463" s="86">
        <f>SUM(J460:J462)</f>
        <v>0</v>
      </c>
      <c r="K463" s="86">
        <f>SUM(K460:K462)</f>
        <v>0</v>
      </c>
      <c r="L463" s="86">
        <f t="shared" ref="L463" si="1057">SUM(L460:L462)</f>
        <v>0</v>
      </c>
      <c r="M463" s="86">
        <f t="shared" ref="M463:AB463" si="1058">SUM(M460:M462)</f>
        <v>0</v>
      </c>
      <c r="N463" s="86">
        <f t="shared" si="1058"/>
        <v>0</v>
      </c>
      <c r="O463" s="86">
        <f t="shared" si="1058"/>
        <v>0</v>
      </c>
      <c r="P463" s="86">
        <f t="shared" si="1058"/>
        <v>0</v>
      </c>
      <c r="Q463" s="86">
        <f t="shared" si="1058"/>
        <v>0</v>
      </c>
      <c r="R463" s="86">
        <f t="shared" si="1058"/>
        <v>0</v>
      </c>
      <c r="S463" s="86">
        <f t="shared" si="1058"/>
        <v>0</v>
      </c>
      <c r="T463" s="86">
        <f t="shared" si="1058"/>
        <v>0</v>
      </c>
      <c r="U463" s="86">
        <f t="shared" si="1058"/>
        <v>0</v>
      </c>
      <c r="V463" s="86">
        <f t="shared" si="1058"/>
        <v>0</v>
      </c>
      <c r="W463" s="86">
        <f t="shared" si="1058"/>
        <v>0</v>
      </c>
      <c r="X463" s="86">
        <f t="shared" si="1058"/>
        <v>0</v>
      </c>
      <c r="Y463" s="86">
        <f t="shared" si="1058"/>
        <v>0</v>
      </c>
      <c r="Z463" s="86">
        <f t="shared" si="1058"/>
        <v>0</v>
      </c>
      <c r="AA463" s="86">
        <f t="shared" si="1058"/>
        <v>0</v>
      </c>
      <c r="AB463" s="86">
        <f t="shared" si="1058"/>
        <v>0</v>
      </c>
      <c r="AC463" s="86">
        <f t="shared" ref="AC463" si="1059">SUM(AC460:AC462)</f>
        <v>0</v>
      </c>
      <c r="AD463" s="86">
        <f>SUM(AD460:AD462)</f>
        <v>0</v>
      </c>
      <c r="AE463" s="86">
        <f>SUM(AE460:AE462)</f>
        <v>0</v>
      </c>
      <c r="AF463" s="86">
        <f t="shared" ref="AF463" si="1060">SUM(AF460:AF462)</f>
        <v>0</v>
      </c>
      <c r="AG463" s="86">
        <f t="shared" ref="AG463" si="1061">SUM(AG460:AG462)</f>
        <v>0</v>
      </c>
      <c r="AH463" s="86">
        <f>SUM(AH460:AH462)</f>
        <v>2363</v>
      </c>
      <c r="AI463" s="86">
        <f>SUM(AI460:AI462)</f>
        <v>-33388</v>
      </c>
      <c r="AJ463" s="86">
        <f t="shared" ref="AJ463" si="1062">SUM(AJ460:AJ462)</f>
        <v>0</v>
      </c>
      <c r="AK463" s="86">
        <f t="shared" ref="AK463:AU463" si="1063">SUM(AK460:AK462)</f>
        <v>0</v>
      </c>
      <c r="AL463" s="86">
        <f t="shared" si="1063"/>
        <v>0</v>
      </c>
      <c r="AM463" s="86">
        <f t="shared" si="1063"/>
        <v>0</v>
      </c>
      <c r="AN463" s="86">
        <f t="shared" si="1063"/>
        <v>0</v>
      </c>
      <c r="AO463" s="86">
        <f t="shared" si="1063"/>
        <v>0</v>
      </c>
      <c r="AP463" s="86">
        <f t="shared" si="1063"/>
        <v>0</v>
      </c>
      <c r="AQ463" s="86">
        <f t="shared" si="1063"/>
        <v>0</v>
      </c>
      <c r="AR463" s="86">
        <f t="shared" si="1063"/>
        <v>0</v>
      </c>
      <c r="AS463" s="86">
        <f t="shared" si="1063"/>
        <v>0</v>
      </c>
      <c r="AT463" s="86">
        <f t="shared" si="1063"/>
        <v>0</v>
      </c>
      <c r="AU463" s="86">
        <f t="shared" si="1063"/>
        <v>0</v>
      </c>
      <c r="AV463" s="86">
        <f>SUM(AV460:AV462)</f>
        <v>0</v>
      </c>
      <c r="AW463" s="86">
        <f>SUM(AW460:AW462)</f>
        <v>0</v>
      </c>
      <c r="AX463" s="86">
        <f t="shared" si="1056"/>
        <v>0</v>
      </c>
      <c r="AY463" s="86">
        <f t="shared" si="1056"/>
        <v>0</v>
      </c>
      <c r="AZ463" s="86">
        <f t="shared" si="1056"/>
        <v>0</v>
      </c>
      <c r="BA463" s="86">
        <f t="shared" si="1056"/>
        <v>0</v>
      </c>
      <c r="BB463" s="86">
        <f t="shared" si="1056"/>
        <v>0</v>
      </c>
      <c r="BC463" s="86">
        <f t="shared" si="1056"/>
        <v>0</v>
      </c>
      <c r="BD463" s="86">
        <f t="shared" si="1056"/>
        <v>0</v>
      </c>
      <c r="BE463" s="86">
        <f t="shared" si="1056"/>
        <v>0</v>
      </c>
      <c r="BF463" s="86">
        <f>SUM(BF460:BF462)</f>
        <v>0</v>
      </c>
    </row>
    <row r="464" spans="1:58" ht="14.1" customHeight="1">
      <c r="A464" s="412">
        <f t="shared" si="1053"/>
        <v>458</v>
      </c>
      <c r="B464" s="134"/>
      <c r="C464" s="134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</row>
    <row r="465" spans="1:58" ht="14.1" customHeight="1">
      <c r="A465" s="412">
        <f t="shared" si="1053"/>
        <v>459</v>
      </c>
      <c r="B465" s="22" t="s">
        <v>534</v>
      </c>
      <c r="C465" s="65">
        <f t="shared" ref="C465:C474" si="1064">SUM(D465:BF465)</f>
        <v>744411.24</v>
      </c>
      <c r="D465" s="43">
        <v>0</v>
      </c>
      <c r="E465" s="43">
        <v>0</v>
      </c>
      <c r="F465" s="43">
        <v>-188103</v>
      </c>
      <c r="G465" s="43">
        <v>0</v>
      </c>
      <c r="H465" s="43">
        <v>-4281.84</v>
      </c>
      <c r="I465" s="43">
        <v>341289</v>
      </c>
      <c r="J465" s="43">
        <v>0</v>
      </c>
      <c r="K465" s="43">
        <v>0</v>
      </c>
      <c r="L465" s="43">
        <v>0</v>
      </c>
      <c r="M465" s="43">
        <v>0</v>
      </c>
      <c r="N465" s="43">
        <v>0</v>
      </c>
      <c r="O465" s="43">
        <v>0</v>
      </c>
      <c r="P465" s="43">
        <v>0</v>
      </c>
      <c r="Q465" s="43">
        <v>0</v>
      </c>
      <c r="R465" s="43">
        <v>0</v>
      </c>
      <c r="S465" s="43">
        <v>0</v>
      </c>
      <c r="T465" s="43">
        <v>0</v>
      </c>
      <c r="U465" s="43">
        <v>0</v>
      </c>
      <c r="V465" s="43">
        <v>0</v>
      </c>
      <c r="W465" s="43">
        <v>0</v>
      </c>
      <c r="X465" s="43">
        <v>0</v>
      </c>
      <c r="Y465" s="43">
        <v>0</v>
      </c>
      <c r="Z465" s="43">
        <v>0</v>
      </c>
      <c r="AA465" s="43">
        <v>0</v>
      </c>
      <c r="AB465" s="43">
        <v>0</v>
      </c>
      <c r="AC465" s="43">
        <v>0</v>
      </c>
      <c r="AD465" s="43">
        <v>0</v>
      </c>
      <c r="AE465" s="43">
        <v>0</v>
      </c>
      <c r="AF465" s="43">
        <v>0</v>
      </c>
      <c r="AG465" s="43">
        <v>0</v>
      </c>
      <c r="AH465" s="43">
        <v>0</v>
      </c>
      <c r="AI465" s="43">
        <v>0</v>
      </c>
      <c r="AJ465" s="43">
        <v>0</v>
      </c>
      <c r="AK465" s="43">
        <v>0</v>
      </c>
      <c r="AL465" s="43">
        <v>0</v>
      </c>
      <c r="AM465" s="43">
        <v>0</v>
      </c>
      <c r="AN465" s="43">
        <v>0</v>
      </c>
      <c r="AO465" s="43">
        <v>0</v>
      </c>
      <c r="AP465" s="43">
        <v>0</v>
      </c>
      <c r="AQ465" s="43">
        <v>0</v>
      </c>
      <c r="AR465" s="43">
        <v>0</v>
      </c>
      <c r="AS465" s="43">
        <v>0</v>
      </c>
      <c r="AT465" s="43">
        <v>0</v>
      </c>
      <c r="AU465" s="43">
        <v>0</v>
      </c>
      <c r="AV465" s="43">
        <v>0</v>
      </c>
      <c r="AW465" s="43">
        <v>0</v>
      </c>
      <c r="AX465" s="43">
        <v>0</v>
      </c>
      <c r="AY465" s="43">
        <v>0</v>
      </c>
      <c r="AZ465" s="43">
        <v>0</v>
      </c>
      <c r="BA465" s="43">
        <v>595507.07999999996</v>
      </c>
      <c r="BB465" s="43">
        <v>0</v>
      </c>
      <c r="BC465" s="43">
        <v>0</v>
      </c>
      <c r="BD465" s="43">
        <v>0</v>
      </c>
      <c r="BE465" s="43">
        <v>0</v>
      </c>
      <c r="BF465" s="43">
        <v>0</v>
      </c>
    </row>
    <row r="466" spans="1:58" ht="14.1" customHeight="1">
      <c r="A466" s="412">
        <f t="shared" si="1053"/>
        <v>460</v>
      </c>
      <c r="B466" s="22" t="s">
        <v>325</v>
      </c>
      <c r="C466" s="65">
        <f t="shared" si="1064"/>
        <v>0</v>
      </c>
      <c r="D466" s="43">
        <v>0</v>
      </c>
      <c r="E466" s="43">
        <v>0</v>
      </c>
      <c r="F466" s="43">
        <v>0</v>
      </c>
      <c r="G466" s="43">
        <v>0</v>
      </c>
      <c r="H466" s="43">
        <v>0</v>
      </c>
      <c r="I466" s="43">
        <v>0</v>
      </c>
      <c r="J466" s="43">
        <v>0</v>
      </c>
      <c r="K466" s="43">
        <v>0</v>
      </c>
      <c r="L466" s="43">
        <v>0</v>
      </c>
      <c r="M466" s="43">
        <v>0</v>
      </c>
      <c r="N466" s="43">
        <v>0</v>
      </c>
      <c r="O466" s="43">
        <v>0</v>
      </c>
      <c r="P466" s="43">
        <v>0</v>
      </c>
      <c r="Q466" s="43">
        <v>0</v>
      </c>
      <c r="R466" s="43">
        <v>0</v>
      </c>
      <c r="S466" s="43">
        <v>0</v>
      </c>
      <c r="T466" s="43">
        <v>0</v>
      </c>
      <c r="U466" s="43">
        <v>0</v>
      </c>
      <c r="V466" s="43">
        <v>0</v>
      </c>
      <c r="W466" s="43">
        <v>0</v>
      </c>
      <c r="X466" s="43">
        <v>0</v>
      </c>
      <c r="Y466" s="43">
        <v>0</v>
      </c>
      <c r="Z466" s="43">
        <v>0</v>
      </c>
      <c r="AA466" s="43">
        <v>0</v>
      </c>
      <c r="AB466" s="43">
        <v>0</v>
      </c>
      <c r="AC466" s="43">
        <v>0</v>
      </c>
      <c r="AD466" s="43">
        <v>0</v>
      </c>
      <c r="AE466" s="43">
        <v>0</v>
      </c>
      <c r="AF466" s="43">
        <v>0</v>
      </c>
      <c r="AG466" s="43">
        <v>0</v>
      </c>
      <c r="AH466" s="43">
        <v>0</v>
      </c>
      <c r="AI466" s="43">
        <v>0</v>
      </c>
      <c r="AJ466" s="43">
        <v>0</v>
      </c>
      <c r="AK466" s="43">
        <v>0</v>
      </c>
      <c r="AL466" s="43">
        <v>0</v>
      </c>
      <c r="AM466" s="43">
        <v>0</v>
      </c>
      <c r="AN466" s="43">
        <v>0</v>
      </c>
      <c r="AO466" s="43">
        <v>0</v>
      </c>
      <c r="AP466" s="43">
        <v>0</v>
      </c>
      <c r="AQ466" s="43">
        <v>0</v>
      </c>
      <c r="AR466" s="43">
        <v>0</v>
      </c>
      <c r="AS466" s="43">
        <v>0</v>
      </c>
      <c r="AT466" s="43">
        <v>0</v>
      </c>
      <c r="AU466" s="43">
        <v>0</v>
      </c>
      <c r="AV466" s="43">
        <v>0</v>
      </c>
      <c r="AW466" s="43">
        <v>0</v>
      </c>
      <c r="AX466" s="43">
        <v>0</v>
      </c>
      <c r="AY466" s="43">
        <v>0</v>
      </c>
      <c r="AZ466" s="43">
        <v>0</v>
      </c>
      <c r="BA466" s="43">
        <v>0</v>
      </c>
      <c r="BB466" s="43">
        <v>0</v>
      </c>
      <c r="BC466" s="43">
        <v>0</v>
      </c>
      <c r="BD466" s="43">
        <v>0</v>
      </c>
      <c r="BE466" s="43">
        <v>0</v>
      </c>
      <c r="BF466" s="43">
        <v>0</v>
      </c>
    </row>
    <row r="467" spans="1:58" ht="14.1" customHeight="1">
      <c r="A467" s="412">
        <f t="shared" si="1053"/>
        <v>461</v>
      </c>
      <c r="B467" s="22" t="s">
        <v>326</v>
      </c>
      <c r="C467" s="65">
        <f t="shared" si="1064"/>
        <v>-1801</v>
      </c>
      <c r="D467" s="43">
        <v>0</v>
      </c>
      <c r="E467" s="43">
        <v>0</v>
      </c>
      <c r="F467" s="43">
        <v>0</v>
      </c>
      <c r="G467" s="43">
        <v>0</v>
      </c>
      <c r="H467" s="43">
        <v>0</v>
      </c>
      <c r="I467" s="43">
        <v>0</v>
      </c>
      <c r="J467" s="43">
        <v>0</v>
      </c>
      <c r="K467" s="43">
        <v>0</v>
      </c>
      <c r="L467" s="43">
        <v>0</v>
      </c>
      <c r="M467" s="43">
        <v>0</v>
      </c>
      <c r="N467" s="43">
        <v>0</v>
      </c>
      <c r="O467" s="43">
        <v>0</v>
      </c>
      <c r="P467" s="43">
        <v>0</v>
      </c>
      <c r="Q467" s="43">
        <v>0</v>
      </c>
      <c r="R467" s="43">
        <v>0</v>
      </c>
      <c r="S467" s="43">
        <v>0</v>
      </c>
      <c r="T467" s="43">
        <v>0</v>
      </c>
      <c r="U467" s="43">
        <v>0</v>
      </c>
      <c r="V467" s="43">
        <v>0</v>
      </c>
      <c r="W467" s="43">
        <v>0</v>
      </c>
      <c r="X467" s="43">
        <v>0</v>
      </c>
      <c r="Y467" s="43">
        <v>0</v>
      </c>
      <c r="Z467" s="43">
        <v>0</v>
      </c>
      <c r="AA467" s="43">
        <v>0</v>
      </c>
      <c r="AB467" s="43">
        <v>0</v>
      </c>
      <c r="AC467" s="43">
        <v>0</v>
      </c>
      <c r="AD467" s="43">
        <v>0</v>
      </c>
      <c r="AE467" s="43">
        <v>0</v>
      </c>
      <c r="AF467" s="43">
        <v>0</v>
      </c>
      <c r="AG467" s="43">
        <v>0</v>
      </c>
      <c r="AH467" s="43">
        <v>0</v>
      </c>
      <c r="AI467" s="43">
        <v>0</v>
      </c>
      <c r="AJ467" s="43">
        <v>0</v>
      </c>
      <c r="AK467" s="43">
        <v>0</v>
      </c>
      <c r="AL467" s="43">
        <v>0</v>
      </c>
      <c r="AM467" s="43">
        <v>0</v>
      </c>
      <c r="AN467" s="43">
        <v>0</v>
      </c>
      <c r="AO467" s="43">
        <v>0</v>
      </c>
      <c r="AP467" s="43">
        <v>0</v>
      </c>
      <c r="AQ467" s="43">
        <v>-1801</v>
      </c>
      <c r="AR467" s="43">
        <v>0</v>
      </c>
      <c r="AS467" s="43">
        <v>0</v>
      </c>
      <c r="AT467" s="43">
        <v>0</v>
      </c>
      <c r="AU467" s="43">
        <v>0</v>
      </c>
      <c r="AV467" s="43">
        <v>0</v>
      </c>
      <c r="AW467" s="43">
        <v>0</v>
      </c>
      <c r="AX467" s="43">
        <v>0</v>
      </c>
      <c r="AY467" s="43">
        <v>0</v>
      </c>
      <c r="AZ467" s="43">
        <v>0</v>
      </c>
      <c r="BA467" s="43">
        <v>0</v>
      </c>
      <c r="BB467" s="43">
        <v>0</v>
      </c>
      <c r="BC467" s="43">
        <v>0</v>
      </c>
      <c r="BD467" s="43">
        <v>0</v>
      </c>
      <c r="BE467" s="43">
        <v>0</v>
      </c>
      <c r="BF467" s="43">
        <v>0</v>
      </c>
    </row>
    <row r="468" spans="1:58" ht="14.1" customHeight="1">
      <c r="A468" s="412">
        <f t="shared" si="1053"/>
        <v>462</v>
      </c>
      <c r="B468" s="22" t="s">
        <v>298</v>
      </c>
      <c r="C468" s="65">
        <f t="shared" si="1064"/>
        <v>78776</v>
      </c>
      <c r="D468" s="43">
        <v>0</v>
      </c>
      <c r="E468" s="43">
        <v>0</v>
      </c>
      <c r="F468" s="43">
        <v>0</v>
      </c>
      <c r="G468" s="43">
        <v>0</v>
      </c>
      <c r="H468" s="43">
        <v>0</v>
      </c>
      <c r="I468" s="43">
        <v>0</v>
      </c>
      <c r="J468" s="43">
        <v>0</v>
      </c>
      <c r="K468" s="43">
        <v>0</v>
      </c>
      <c r="L468" s="43">
        <v>0</v>
      </c>
      <c r="M468" s="43">
        <v>0</v>
      </c>
      <c r="N468" s="43">
        <v>0</v>
      </c>
      <c r="O468" s="43">
        <v>0</v>
      </c>
      <c r="P468" s="43">
        <v>0</v>
      </c>
      <c r="Q468" s="43">
        <v>0</v>
      </c>
      <c r="R468" s="43">
        <v>0</v>
      </c>
      <c r="S468" s="43">
        <v>0</v>
      </c>
      <c r="T468" s="43">
        <v>0</v>
      </c>
      <c r="U468" s="43">
        <v>0</v>
      </c>
      <c r="V468" s="43">
        <v>0</v>
      </c>
      <c r="W468" s="43">
        <v>0</v>
      </c>
      <c r="X468" s="43">
        <v>0</v>
      </c>
      <c r="Y468" s="43">
        <v>0</v>
      </c>
      <c r="Z468" s="43">
        <v>0</v>
      </c>
      <c r="AA468" s="43">
        <v>0</v>
      </c>
      <c r="AB468" s="43">
        <v>0</v>
      </c>
      <c r="AC468" s="43">
        <v>0</v>
      </c>
      <c r="AD468" s="43">
        <v>0</v>
      </c>
      <c r="AE468" s="43">
        <v>0</v>
      </c>
      <c r="AF468" s="43">
        <v>0</v>
      </c>
      <c r="AG468" s="43">
        <v>0</v>
      </c>
      <c r="AH468" s="43">
        <v>0</v>
      </c>
      <c r="AI468" s="43">
        <v>0</v>
      </c>
      <c r="AJ468" s="43">
        <v>0</v>
      </c>
      <c r="AK468" s="43">
        <v>0</v>
      </c>
      <c r="AL468" s="43">
        <v>0</v>
      </c>
      <c r="AM468" s="43">
        <v>0</v>
      </c>
      <c r="AN468" s="43">
        <v>0</v>
      </c>
      <c r="AO468" s="43">
        <v>0</v>
      </c>
      <c r="AP468" s="43">
        <v>0</v>
      </c>
      <c r="AQ468" s="43">
        <v>0</v>
      </c>
      <c r="AR468" s="43">
        <v>78776</v>
      </c>
      <c r="AS468" s="43">
        <v>0</v>
      </c>
      <c r="AT468" s="43">
        <v>0</v>
      </c>
      <c r="AU468" s="43">
        <v>0</v>
      </c>
      <c r="AV468" s="43">
        <v>0</v>
      </c>
      <c r="AW468" s="43">
        <v>0</v>
      </c>
      <c r="AX468" s="43">
        <v>0</v>
      </c>
      <c r="AY468" s="43">
        <v>0</v>
      </c>
      <c r="AZ468" s="43">
        <v>0</v>
      </c>
      <c r="BA468" s="43">
        <v>0</v>
      </c>
      <c r="BB468" s="43">
        <v>0</v>
      </c>
      <c r="BC468" s="43">
        <v>0</v>
      </c>
      <c r="BD468" s="43">
        <v>0</v>
      </c>
      <c r="BE468" s="43">
        <v>0</v>
      </c>
      <c r="BF468" s="43">
        <v>0</v>
      </c>
    </row>
    <row r="469" spans="1:58" ht="14.1" customHeight="1">
      <c r="A469" s="412">
        <f t="shared" si="1053"/>
        <v>463</v>
      </c>
      <c r="B469" s="22" t="s">
        <v>299</v>
      </c>
      <c r="C469" s="65">
        <f t="shared" si="1064"/>
        <v>0</v>
      </c>
      <c r="D469" s="43">
        <v>0</v>
      </c>
      <c r="E469" s="43">
        <v>0</v>
      </c>
      <c r="F469" s="43">
        <v>0</v>
      </c>
      <c r="G469" s="43">
        <v>0</v>
      </c>
      <c r="H469" s="43">
        <v>0</v>
      </c>
      <c r="I469" s="43">
        <v>0</v>
      </c>
      <c r="J469" s="43">
        <v>0</v>
      </c>
      <c r="K469" s="43">
        <v>0</v>
      </c>
      <c r="L469" s="43">
        <v>0</v>
      </c>
      <c r="M469" s="43">
        <v>0</v>
      </c>
      <c r="N469" s="43">
        <v>0</v>
      </c>
      <c r="O469" s="43">
        <v>0</v>
      </c>
      <c r="P469" s="43">
        <v>0</v>
      </c>
      <c r="Q469" s="43">
        <v>0</v>
      </c>
      <c r="R469" s="43">
        <v>0</v>
      </c>
      <c r="S469" s="43">
        <v>0</v>
      </c>
      <c r="T469" s="43">
        <v>0</v>
      </c>
      <c r="U469" s="43">
        <v>0</v>
      </c>
      <c r="V469" s="43">
        <v>0</v>
      </c>
      <c r="W469" s="43">
        <v>0</v>
      </c>
      <c r="X469" s="43">
        <v>0</v>
      </c>
      <c r="Y469" s="43">
        <v>0</v>
      </c>
      <c r="Z469" s="43">
        <v>0</v>
      </c>
      <c r="AA469" s="43">
        <v>0</v>
      </c>
      <c r="AB469" s="43">
        <v>0</v>
      </c>
      <c r="AC469" s="43">
        <v>0</v>
      </c>
      <c r="AD469" s="43">
        <v>0</v>
      </c>
      <c r="AE469" s="43">
        <v>0</v>
      </c>
      <c r="AF469" s="43">
        <v>0</v>
      </c>
      <c r="AG469" s="43">
        <v>0</v>
      </c>
      <c r="AH469" s="43">
        <v>0</v>
      </c>
      <c r="AI469" s="43">
        <v>0</v>
      </c>
      <c r="AJ469" s="43">
        <v>0</v>
      </c>
      <c r="AK469" s="43">
        <v>0</v>
      </c>
      <c r="AL469" s="43">
        <v>0</v>
      </c>
      <c r="AM469" s="43">
        <v>0</v>
      </c>
      <c r="AN469" s="43">
        <v>0</v>
      </c>
      <c r="AO469" s="43">
        <v>0</v>
      </c>
      <c r="AP469" s="43">
        <v>0</v>
      </c>
      <c r="AQ469" s="43">
        <v>0</v>
      </c>
      <c r="AR469" s="43">
        <v>0</v>
      </c>
      <c r="AS469" s="43">
        <v>0</v>
      </c>
      <c r="AT469" s="43">
        <v>0</v>
      </c>
      <c r="AU469" s="43">
        <v>0</v>
      </c>
      <c r="AV469" s="43">
        <v>0</v>
      </c>
      <c r="AW469" s="43">
        <v>0</v>
      </c>
      <c r="AX469" s="43">
        <v>0</v>
      </c>
      <c r="AY469" s="43">
        <v>0</v>
      </c>
      <c r="AZ469" s="43">
        <v>0</v>
      </c>
      <c r="BA469" s="43">
        <v>0</v>
      </c>
      <c r="BB469" s="43">
        <v>0</v>
      </c>
      <c r="BC469" s="43">
        <v>0</v>
      </c>
      <c r="BD469" s="43">
        <v>0</v>
      </c>
      <c r="BE469" s="43">
        <v>0</v>
      </c>
      <c r="BF469" s="43">
        <v>0</v>
      </c>
    </row>
    <row r="470" spans="1:58" ht="14.1" customHeight="1">
      <c r="A470" s="412">
        <f t="shared" si="1053"/>
        <v>464</v>
      </c>
      <c r="B470" s="22" t="s">
        <v>795</v>
      </c>
      <c r="C470" s="65">
        <f t="shared" si="1064"/>
        <v>0</v>
      </c>
      <c r="D470" s="43">
        <v>0</v>
      </c>
      <c r="E470" s="43">
        <v>0</v>
      </c>
      <c r="F470" s="43">
        <v>0</v>
      </c>
      <c r="G470" s="43">
        <v>0</v>
      </c>
      <c r="H470" s="43">
        <v>0</v>
      </c>
      <c r="I470" s="43">
        <v>0</v>
      </c>
      <c r="J470" s="43">
        <v>0</v>
      </c>
      <c r="K470" s="43">
        <v>0</v>
      </c>
      <c r="L470" s="43">
        <v>0</v>
      </c>
      <c r="M470" s="43">
        <v>0</v>
      </c>
      <c r="N470" s="43">
        <v>0</v>
      </c>
      <c r="O470" s="43">
        <v>0</v>
      </c>
      <c r="P470" s="43">
        <v>0</v>
      </c>
      <c r="Q470" s="43">
        <v>0</v>
      </c>
      <c r="R470" s="43">
        <v>0</v>
      </c>
      <c r="S470" s="43">
        <v>0</v>
      </c>
      <c r="T470" s="43">
        <v>0</v>
      </c>
      <c r="U470" s="43">
        <v>0</v>
      </c>
      <c r="V470" s="43">
        <v>0</v>
      </c>
      <c r="W470" s="43">
        <v>0</v>
      </c>
      <c r="X470" s="43">
        <v>0</v>
      </c>
      <c r="Y470" s="43">
        <v>0</v>
      </c>
      <c r="Z470" s="43">
        <v>0</v>
      </c>
      <c r="AA470" s="43">
        <v>0</v>
      </c>
      <c r="AB470" s="43">
        <v>0</v>
      </c>
      <c r="AC470" s="43">
        <v>0</v>
      </c>
      <c r="AD470" s="43">
        <v>0</v>
      </c>
      <c r="AE470" s="43">
        <v>0</v>
      </c>
      <c r="AF470" s="43">
        <v>0</v>
      </c>
      <c r="AG470" s="43">
        <v>0</v>
      </c>
      <c r="AH470" s="43">
        <v>0</v>
      </c>
      <c r="AI470" s="43">
        <v>0</v>
      </c>
      <c r="AJ470" s="43">
        <v>0</v>
      </c>
      <c r="AK470" s="43">
        <v>0</v>
      </c>
      <c r="AL470" s="43">
        <v>0</v>
      </c>
      <c r="AM470" s="43">
        <v>0</v>
      </c>
      <c r="AN470" s="43">
        <v>0</v>
      </c>
      <c r="AO470" s="43">
        <v>0</v>
      </c>
      <c r="AP470" s="43">
        <v>0</v>
      </c>
      <c r="AQ470" s="43">
        <v>0</v>
      </c>
      <c r="AR470" s="43">
        <v>0</v>
      </c>
      <c r="AS470" s="43">
        <v>0</v>
      </c>
      <c r="AT470" s="43">
        <v>0</v>
      </c>
      <c r="AU470" s="43">
        <v>0</v>
      </c>
      <c r="AV470" s="43">
        <v>0</v>
      </c>
      <c r="AW470" s="43">
        <v>0</v>
      </c>
      <c r="AX470" s="43">
        <v>0</v>
      </c>
      <c r="AY470" s="43">
        <v>0</v>
      </c>
      <c r="AZ470" s="43">
        <v>0</v>
      </c>
      <c r="BA470" s="43">
        <v>0</v>
      </c>
      <c r="BB470" s="43">
        <v>0</v>
      </c>
      <c r="BC470" s="43">
        <v>0</v>
      </c>
      <c r="BD470" s="43">
        <v>0</v>
      </c>
      <c r="BE470" s="43">
        <v>0</v>
      </c>
      <c r="BF470" s="43">
        <v>0</v>
      </c>
    </row>
    <row r="471" spans="1:58" ht="13.5" customHeight="1">
      <c r="A471" s="412">
        <f t="shared" si="1053"/>
        <v>465</v>
      </c>
      <c r="B471" s="22" t="s">
        <v>327</v>
      </c>
      <c r="C471" s="65">
        <f t="shared" si="1064"/>
        <v>0</v>
      </c>
      <c r="D471" s="43">
        <v>0</v>
      </c>
      <c r="E471" s="43">
        <v>0</v>
      </c>
      <c r="F471" s="43">
        <v>0</v>
      </c>
      <c r="G471" s="43">
        <v>0</v>
      </c>
      <c r="H471" s="43">
        <v>0</v>
      </c>
      <c r="I471" s="43">
        <v>0</v>
      </c>
      <c r="J471" s="43">
        <v>0</v>
      </c>
      <c r="K471" s="43">
        <v>0</v>
      </c>
      <c r="L471" s="43">
        <v>0</v>
      </c>
      <c r="M471" s="43">
        <v>0</v>
      </c>
      <c r="N471" s="43">
        <v>0</v>
      </c>
      <c r="O471" s="43">
        <v>0</v>
      </c>
      <c r="P471" s="43">
        <v>0</v>
      </c>
      <c r="Q471" s="43">
        <v>0</v>
      </c>
      <c r="R471" s="43">
        <v>0</v>
      </c>
      <c r="S471" s="43">
        <v>0</v>
      </c>
      <c r="T471" s="43">
        <v>0</v>
      </c>
      <c r="U471" s="43">
        <v>0</v>
      </c>
      <c r="V471" s="43">
        <v>0</v>
      </c>
      <c r="W471" s="43">
        <v>0</v>
      </c>
      <c r="X471" s="43">
        <v>0</v>
      </c>
      <c r="Y471" s="43">
        <v>0</v>
      </c>
      <c r="Z471" s="43">
        <v>0</v>
      </c>
      <c r="AA471" s="43">
        <v>0</v>
      </c>
      <c r="AB471" s="43">
        <v>0</v>
      </c>
      <c r="AC471" s="43">
        <v>0</v>
      </c>
      <c r="AD471" s="43">
        <v>0</v>
      </c>
      <c r="AE471" s="43">
        <v>0</v>
      </c>
      <c r="AF471" s="43">
        <v>0</v>
      </c>
      <c r="AG471" s="43">
        <v>0</v>
      </c>
      <c r="AH471" s="43">
        <v>0</v>
      </c>
      <c r="AI471" s="43">
        <v>0</v>
      </c>
      <c r="AJ471" s="43">
        <v>0</v>
      </c>
      <c r="AK471" s="43">
        <v>0</v>
      </c>
      <c r="AL471" s="43">
        <v>0</v>
      </c>
      <c r="AM471" s="43">
        <v>0</v>
      </c>
      <c r="AN471" s="43">
        <v>0</v>
      </c>
      <c r="AO471" s="43">
        <v>0</v>
      </c>
      <c r="AP471" s="43">
        <v>0</v>
      </c>
      <c r="AQ471" s="43">
        <v>0</v>
      </c>
      <c r="AR471" s="43">
        <v>0</v>
      </c>
      <c r="AS471" s="43">
        <v>0</v>
      </c>
      <c r="AT471" s="43">
        <v>0</v>
      </c>
      <c r="AU471" s="43">
        <v>0</v>
      </c>
      <c r="AV471" s="43">
        <v>0</v>
      </c>
      <c r="AW471" s="43">
        <v>0</v>
      </c>
      <c r="AX471" s="43">
        <v>0</v>
      </c>
      <c r="AY471" s="43">
        <v>0</v>
      </c>
      <c r="AZ471" s="43">
        <v>0</v>
      </c>
      <c r="BA471" s="43">
        <v>0</v>
      </c>
      <c r="BB471" s="43">
        <v>0</v>
      </c>
      <c r="BC471" s="43">
        <v>0</v>
      </c>
      <c r="BD471" s="43">
        <v>0</v>
      </c>
      <c r="BE471" s="43">
        <v>0</v>
      </c>
      <c r="BF471" s="43">
        <v>0</v>
      </c>
    </row>
    <row r="472" spans="1:58" ht="13.5" customHeight="1">
      <c r="A472" s="412">
        <f t="shared" si="1053"/>
        <v>466</v>
      </c>
      <c r="B472" s="22" t="s">
        <v>300</v>
      </c>
      <c r="C472" s="65">
        <f t="shared" si="1064"/>
        <v>0</v>
      </c>
      <c r="D472" s="43">
        <v>0</v>
      </c>
      <c r="E472" s="43">
        <v>0</v>
      </c>
      <c r="F472" s="43">
        <v>0</v>
      </c>
      <c r="G472" s="43">
        <v>0</v>
      </c>
      <c r="H472" s="43">
        <v>0</v>
      </c>
      <c r="I472" s="43">
        <v>0</v>
      </c>
      <c r="J472" s="43">
        <v>0</v>
      </c>
      <c r="K472" s="43">
        <v>0</v>
      </c>
      <c r="L472" s="43">
        <v>0</v>
      </c>
      <c r="M472" s="43">
        <v>0</v>
      </c>
      <c r="N472" s="43">
        <v>0</v>
      </c>
      <c r="O472" s="43">
        <v>0</v>
      </c>
      <c r="P472" s="43">
        <v>0</v>
      </c>
      <c r="Q472" s="43">
        <v>0</v>
      </c>
      <c r="R472" s="43">
        <v>0</v>
      </c>
      <c r="S472" s="43">
        <v>0</v>
      </c>
      <c r="T472" s="43">
        <v>0</v>
      </c>
      <c r="U472" s="43">
        <v>0</v>
      </c>
      <c r="V472" s="43">
        <v>0</v>
      </c>
      <c r="W472" s="43">
        <v>0</v>
      </c>
      <c r="X472" s="43">
        <v>0</v>
      </c>
      <c r="Y472" s="43">
        <v>0</v>
      </c>
      <c r="Z472" s="43">
        <v>0</v>
      </c>
      <c r="AA472" s="43">
        <v>0</v>
      </c>
      <c r="AB472" s="43">
        <v>0</v>
      </c>
      <c r="AC472" s="43">
        <v>0</v>
      </c>
      <c r="AD472" s="43">
        <v>0</v>
      </c>
      <c r="AE472" s="43">
        <v>0</v>
      </c>
      <c r="AF472" s="43">
        <v>0</v>
      </c>
      <c r="AG472" s="43">
        <v>0</v>
      </c>
      <c r="AH472" s="43">
        <v>0</v>
      </c>
      <c r="AI472" s="43">
        <v>0</v>
      </c>
      <c r="AJ472" s="43">
        <v>0</v>
      </c>
      <c r="AK472" s="43">
        <v>0</v>
      </c>
      <c r="AL472" s="43">
        <v>0</v>
      </c>
      <c r="AM472" s="43">
        <v>0</v>
      </c>
      <c r="AN472" s="43">
        <v>0</v>
      </c>
      <c r="AO472" s="43">
        <v>0</v>
      </c>
      <c r="AP472" s="43">
        <v>0</v>
      </c>
      <c r="AQ472" s="43">
        <v>0</v>
      </c>
      <c r="AR472" s="43">
        <v>0</v>
      </c>
      <c r="AS472" s="43">
        <v>0</v>
      </c>
      <c r="AT472" s="43">
        <v>0</v>
      </c>
      <c r="AU472" s="43">
        <v>0</v>
      </c>
      <c r="AV472" s="43">
        <v>0</v>
      </c>
      <c r="AW472" s="43">
        <v>0</v>
      </c>
      <c r="AX472" s="43">
        <v>0</v>
      </c>
      <c r="AY472" s="43">
        <v>0</v>
      </c>
      <c r="AZ472" s="43">
        <v>0</v>
      </c>
      <c r="BA472" s="43">
        <v>0</v>
      </c>
      <c r="BB472" s="43">
        <v>0</v>
      </c>
      <c r="BC472" s="43">
        <v>0</v>
      </c>
      <c r="BD472" s="43">
        <v>0</v>
      </c>
      <c r="BE472" s="43">
        <v>0</v>
      </c>
      <c r="BF472" s="43">
        <v>0</v>
      </c>
    </row>
    <row r="473" spans="1:58" ht="14.1" customHeight="1">
      <c r="A473" s="412">
        <f t="shared" si="1053"/>
        <v>467</v>
      </c>
      <c r="B473" s="22" t="s">
        <v>301</v>
      </c>
      <c r="C473" s="65">
        <f t="shared" si="1064"/>
        <v>0</v>
      </c>
      <c r="D473" s="43">
        <v>0</v>
      </c>
      <c r="E473" s="43">
        <v>0</v>
      </c>
      <c r="F473" s="43">
        <v>0</v>
      </c>
      <c r="G473" s="43">
        <v>0</v>
      </c>
      <c r="H473" s="43">
        <v>0</v>
      </c>
      <c r="I473" s="43">
        <v>0</v>
      </c>
      <c r="J473" s="43">
        <v>0</v>
      </c>
      <c r="K473" s="43">
        <v>0</v>
      </c>
      <c r="L473" s="43">
        <v>0</v>
      </c>
      <c r="M473" s="43">
        <v>0</v>
      </c>
      <c r="N473" s="43">
        <v>0</v>
      </c>
      <c r="O473" s="43">
        <v>0</v>
      </c>
      <c r="P473" s="43">
        <v>0</v>
      </c>
      <c r="Q473" s="43">
        <v>0</v>
      </c>
      <c r="R473" s="43">
        <v>0</v>
      </c>
      <c r="S473" s="43">
        <v>0</v>
      </c>
      <c r="T473" s="43">
        <v>0</v>
      </c>
      <c r="U473" s="43">
        <v>0</v>
      </c>
      <c r="V473" s="43">
        <v>0</v>
      </c>
      <c r="W473" s="43">
        <v>0</v>
      </c>
      <c r="X473" s="43">
        <v>0</v>
      </c>
      <c r="Y473" s="43">
        <v>0</v>
      </c>
      <c r="Z473" s="43">
        <v>0</v>
      </c>
      <c r="AA473" s="43">
        <v>0</v>
      </c>
      <c r="AB473" s="43">
        <v>0</v>
      </c>
      <c r="AC473" s="43">
        <v>0</v>
      </c>
      <c r="AD473" s="43">
        <v>0</v>
      </c>
      <c r="AE473" s="43">
        <v>0</v>
      </c>
      <c r="AF473" s="43">
        <v>0</v>
      </c>
      <c r="AG473" s="43">
        <v>0</v>
      </c>
      <c r="AH473" s="43">
        <v>0</v>
      </c>
      <c r="AI473" s="43">
        <v>0</v>
      </c>
      <c r="AJ473" s="43">
        <v>0</v>
      </c>
      <c r="AK473" s="43">
        <v>0</v>
      </c>
      <c r="AL473" s="43">
        <v>0</v>
      </c>
      <c r="AM473" s="43">
        <v>0</v>
      </c>
      <c r="AN473" s="43">
        <v>0</v>
      </c>
      <c r="AO473" s="43">
        <v>0</v>
      </c>
      <c r="AP473" s="43">
        <v>0</v>
      </c>
      <c r="AQ473" s="43">
        <v>0</v>
      </c>
      <c r="AR473" s="43">
        <v>0</v>
      </c>
      <c r="AS473" s="43">
        <v>0</v>
      </c>
      <c r="AT473" s="43">
        <v>0</v>
      </c>
      <c r="AU473" s="43">
        <v>0</v>
      </c>
      <c r="AV473" s="43">
        <v>0</v>
      </c>
      <c r="AW473" s="43">
        <v>0</v>
      </c>
      <c r="AX473" s="43">
        <v>0</v>
      </c>
      <c r="AY473" s="43">
        <v>0</v>
      </c>
      <c r="AZ473" s="43">
        <v>0</v>
      </c>
      <c r="BA473" s="43">
        <v>0</v>
      </c>
      <c r="BB473" s="43">
        <v>0</v>
      </c>
      <c r="BC473" s="43">
        <v>0</v>
      </c>
      <c r="BD473" s="43">
        <v>0</v>
      </c>
      <c r="BE473" s="43">
        <v>0</v>
      </c>
      <c r="BF473" s="43">
        <v>0</v>
      </c>
    </row>
    <row r="474" spans="1:58" ht="14.1" customHeight="1">
      <c r="A474" s="412">
        <f t="shared" si="1053"/>
        <v>468</v>
      </c>
      <c r="B474" s="56" t="s">
        <v>302</v>
      </c>
      <c r="C474" s="65">
        <f t="shared" si="1064"/>
        <v>0</v>
      </c>
      <c r="D474" s="43">
        <v>0</v>
      </c>
      <c r="E474" s="43">
        <v>0</v>
      </c>
      <c r="F474" s="43">
        <v>0</v>
      </c>
      <c r="G474" s="43">
        <v>0</v>
      </c>
      <c r="H474" s="43">
        <v>0</v>
      </c>
      <c r="I474" s="43">
        <v>0</v>
      </c>
      <c r="J474" s="43">
        <v>0</v>
      </c>
      <c r="K474" s="43">
        <v>0</v>
      </c>
      <c r="L474" s="43">
        <v>0</v>
      </c>
      <c r="M474" s="43">
        <v>0</v>
      </c>
      <c r="N474" s="43">
        <v>0</v>
      </c>
      <c r="O474" s="43">
        <v>0</v>
      </c>
      <c r="P474" s="43">
        <v>0</v>
      </c>
      <c r="Q474" s="43">
        <v>0</v>
      </c>
      <c r="R474" s="43">
        <v>0</v>
      </c>
      <c r="S474" s="43">
        <v>0</v>
      </c>
      <c r="T474" s="43">
        <v>0</v>
      </c>
      <c r="U474" s="43">
        <v>0</v>
      </c>
      <c r="V474" s="43">
        <v>0</v>
      </c>
      <c r="W474" s="43">
        <v>0</v>
      </c>
      <c r="X474" s="43">
        <v>0</v>
      </c>
      <c r="Y474" s="43">
        <v>0</v>
      </c>
      <c r="Z474" s="43">
        <v>0</v>
      </c>
      <c r="AA474" s="43">
        <v>0</v>
      </c>
      <c r="AB474" s="43">
        <v>0</v>
      </c>
      <c r="AC474" s="43">
        <v>0</v>
      </c>
      <c r="AD474" s="43">
        <v>0</v>
      </c>
      <c r="AE474" s="43">
        <v>0</v>
      </c>
      <c r="AF474" s="43">
        <v>0</v>
      </c>
      <c r="AG474" s="43">
        <v>0</v>
      </c>
      <c r="AH474" s="43">
        <v>0</v>
      </c>
      <c r="AI474" s="43">
        <v>0</v>
      </c>
      <c r="AJ474" s="43">
        <v>0</v>
      </c>
      <c r="AK474" s="43">
        <v>0</v>
      </c>
      <c r="AL474" s="43">
        <v>0</v>
      </c>
      <c r="AM474" s="43">
        <v>0</v>
      </c>
      <c r="AN474" s="43">
        <v>0</v>
      </c>
      <c r="AO474" s="43">
        <v>0</v>
      </c>
      <c r="AP474" s="43">
        <v>0</v>
      </c>
      <c r="AQ474" s="43">
        <v>0</v>
      </c>
      <c r="AR474" s="43">
        <v>0</v>
      </c>
      <c r="AS474" s="43">
        <v>0</v>
      </c>
      <c r="AT474" s="43">
        <v>0</v>
      </c>
      <c r="AU474" s="43">
        <v>0</v>
      </c>
      <c r="AV474" s="43">
        <v>0</v>
      </c>
      <c r="AW474" s="43">
        <v>0</v>
      </c>
      <c r="AX474" s="43">
        <v>0</v>
      </c>
      <c r="AY474" s="43">
        <v>0</v>
      </c>
      <c r="AZ474" s="43">
        <v>0</v>
      </c>
      <c r="BA474" s="43">
        <v>0</v>
      </c>
      <c r="BB474" s="43">
        <v>0</v>
      </c>
      <c r="BC474" s="43">
        <v>0</v>
      </c>
      <c r="BD474" s="43">
        <v>0</v>
      </c>
      <c r="BE474" s="43">
        <v>0</v>
      </c>
      <c r="BF474" s="43">
        <v>0</v>
      </c>
    </row>
    <row r="475" spans="1:58" ht="14.1" customHeight="1">
      <c r="A475" s="412">
        <f t="shared" si="1053"/>
        <v>469</v>
      </c>
      <c r="B475" s="20" t="s">
        <v>524</v>
      </c>
      <c r="C475" s="86">
        <f>SUM(C463:C474)</f>
        <v>790361.24</v>
      </c>
      <c r="D475" s="86">
        <f>SUM(D463:D474)</f>
        <v>0</v>
      </c>
      <c r="E475" s="86">
        <f>SUM(E463:E474)</f>
        <v>0</v>
      </c>
      <c r="F475" s="86">
        <f t="shared" ref="F475" si="1065">SUM(F463:F474)</f>
        <v>-188103</v>
      </c>
      <c r="G475" s="86">
        <f t="shared" ref="G475" si="1066">SUM(G463:G474)</f>
        <v>0</v>
      </c>
      <c r="H475" s="86">
        <f t="shared" ref="H475:BE475" si="1067">SUM(H463:H474)</f>
        <v>-4281.84</v>
      </c>
      <c r="I475" s="86">
        <f>SUM(I463:I474)</f>
        <v>341289</v>
      </c>
      <c r="J475" s="86">
        <f>SUM(J463:J474)</f>
        <v>0</v>
      </c>
      <c r="K475" s="86">
        <f>SUM(K463:K474)</f>
        <v>0</v>
      </c>
      <c r="L475" s="86">
        <f t="shared" ref="L475" si="1068">SUM(L463:L474)</f>
        <v>0</v>
      </c>
      <c r="M475" s="86">
        <f t="shared" ref="M475:AB475" si="1069">SUM(M463:M474)</f>
        <v>0</v>
      </c>
      <c r="N475" s="86">
        <f t="shared" si="1069"/>
        <v>0</v>
      </c>
      <c r="O475" s="86">
        <f t="shared" si="1069"/>
        <v>0</v>
      </c>
      <c r="P475" s="86">
        <f t="shared" si="1069"/>
        <v>0</v>
      </c>
      <c r="Q475" s="86">
        <f t="shared" si="1069"/>
        <v>0</v>
      </c>
      <c r="R475" s="86">
        <f t="shared" si="1069"/>
        <v>0</v>
      </c>
      <c r="S475" s="86">
        <f t="shared" si="1069"/>
        <v>0</v>
      </c>
      <c r="T475" s="86">
        <f t="shared" si="1069"/>
        <v>0</v>
      </c>
      <c r="U475" s="86">
        <f t="shared" si="1069"/>
        <v>0</v>
      </c>
      <c r="V475" s="86">
        <f t="shared" si="1069"/>
        <v>0</v>
      </c>
      <c r="W475" s="86">
        <f t="shared" si="1069"/>
        <v>0</v>
      </c>
      <c r="X475" s="86">
        <f t="shared" si="1069"/>
        <v>0</v>
      </c>
      <c r="Y475" s="86">
        <f t="shared" si="1069"/>
        <v>0</v>
      </c>
      <c r="Z475" s="86">
        <f t="shared" si="1069"/>
        <v>0</v>
      </c>
      <c r="AA475" s="86">
        <f t="shared" si="1069"/>
        <v>0</v>
      </c>
      <c r="AB475" s="86">
        <f t="shared" si="1069"/>
        <v>0</v>
      </c>
      <c r="AC475" s="86">
        <f t="shared" ref="AC475" si="1070">SUM(AC463:AC474)</f>
        <v>0</v>
      </c>
      <c r="AD475" s="86">
        <f>SUM(AD463:AD474)</f>
        <v>0</v>
      </c>
      <c r="AE475" s="86">
        <f>SUM(AE463:AE474)</f>
        <v>0</v>
      </c>
      <c r="AF475" s="86">
        <f t="shared" ref="AF475" si="1071">SUM(AF463:AF474)</f>
        <v>0</v>
      </c>
      <c r="AG475" s="86">
        <f t="shared" ref="AG475" si="1072">SUM(AG463:AG474)</f>
        <v>0</v>
      </c>
      <c r="AH475" s="86">
        <f>SUM(AH463:AH474)</f>
        <v>2363</v>
      </c>
      <c r="AI475" s="86">
        <f>SUM(AI463:AI474)</f>
        <v>-33388</v>
      </c>
      <c r="AJ475" s="86">
        <f t="shared" ref="AJ475" si="1073">SUM(AJ463:AJ474)</f>
        <v>0</v>
      </c>
      <c r="AK475" s="86">
        <f t="shared" ref="AK475:AU475" si="1074">SUM(AK463:AK474)</f>
        <v>0</v>
      </c>
      <c r="AL475" s="86">
        <f t="shared" si="1074"/>
        <v>0</v>
      </c>
      <c r="AM475" s="86">
        <f t="shared" si="1074"/>
        <v>0</v>
      </c>
      <c r="AN475" s="86">
        <f t="shared" si="1074"/>
        <v>0</v>
      </c>
      <c r="AO475" s="86">
        <f t="shared" si="1074"/>
        <v>0</v>
      </c>
      <c r="AP475" s="86">
        <f t="shared" si="1074"/>
        <v>0</v>
      </c>
      <c r="AQ475" s="86">
        <f t="shared" si="1074"/>
        <v>-1801</v>
      </c>
      <c r="AR475" s="86">
        <f t="shared" si="1074"/>
        <v>78776</v>
      </c>
      <c r="AS475" s="86">
        <f t="shared" si="1074"/>
        <v>0</v>
      </c>
      <c r="AT475" s="86">
        <f t="shared" si="1074"/>
        <v>0</v>
      </c>
      <c r="AU475" s="86">
        <f t="shared" si="1074"/>
        <v>0</v>
      </c>
      <c r="AV475" s="86">
        <f>SUM(AV463:AV474)</f>
        <v>0</v>
      </c>
      <c r="AW475" s="86">
        <f>SUM(AW463:AW474)</f>
        <v>0</v>
      </c>
      <c r="AX475" s="86">
        <f t="shared" si="1067"/>
        <v>0</v>
      </c>
      <c r="AY475" s="86">
        <f t="shared" si="1067"/>
        <v>0</v>
      </c>
      <c r="AZ475" s="86">
        <f t="shared" si="1067"/>
        <v>0</v>
      </c>
      <c r="BA475" s="86">
        <f t="shared" si="1067"/>
        <v>595507.07999999996</v>
      </c>
      <c r="BB475" s="86">
        <f t="shared" si="1067"/>
        <v>0</v>
      </c>
      <c r="BC475" s="86">
        <f t="shared" si="1067"/>
        <v>0</v>
      </c>
      <c r="BD475" s="86">
        <f t="shared" si="1067"/>
        <v>0</v>
      </c>
      <c r="BE475" s="86">
        <f t="shared" si="1067"/>
        <v>0</v>
      </c>
      <c r="BF475" s="86">
        <f>SUM(BF463:BF474)</f>
        <v>0</v>
      </c>
    </row>
    <row r="476" spans="1:58" ht="14.1" customHeight="1">
      <c r="A476" s="412">
        <f t="shared" si="1053"/>
        <v>470</v>
      </c>
      <c r="B476" s="20"/>
      <c r="C476" s="20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</row>
    <row r="477" spans="1:58" ht="13.5" customHeight="1">
      <c r="A477" s="412">
        <f t="shared" si="1053"/>
        <v>471</v>
      </c>
      <c r="B477" s="22" t="s">
        <v>818</v>
      </c>
      <c r="C477" s="65">
        <f t="shared" ref="C477:C491" si="1075">SUM(D477:BF477)</f>
        <v>-431810</v>
      </c>
      <c r="D477" s="43">
        <v>0</v>
      </c>
      <c r="E477" s="43">
        <v>0</v>
      </c>
      <c r="F477" s="43">
        <v>0</v>
      </c>
      <c r="G477" s="43">
        <v>0</v>
      </c>
      <c r="H477" s="43">
        <v>0</v>
      </c>
      <c r="I477" s="43">
        <v>0</v>
      </c>
      <c r="J477" s="43">
        <v>0</v>
      </c>
      <c r="K477" s="43">
        <v>0</v>
      </c>
      <c r="L477" s="43">
        <v>0</v>
      </c>
      <c r="M477" s="43">
        <v>0</v>
      </c>
      <c r="N477" s="43">
        <v>0</v>
      </c>
      <c r="O477" s="43">
        <v>0</v>
      </c>
      <c r="P477" s="43">
        <v>0</v>
      </c>
      <c r="Q477" s="43">
        <v>0</v>
      </c>
      <c r="R477" s="43">
        <v>0</v>
      </c>
      <c r="S477" s="43">
        <v>0</v>
      </c>
      <c r="T477" s="43">
        <v>0</v>
      </c>
      <c r="U477" s="43">
        <v>0</v>
      </c>
      <c r="V477" s="43">
        <v>0</v>
      </c>
      <c r="W477" s="43">
        <v>0</v>
      </c>
      <c r="X477" s="43">
        <v>0</v>
      </c>
      <c r="Y477" s="43">
        <v>0</v>
      </c>
      <c r="Z477" s="43">
        <v>0</v>
      </c>
      <c r="AA477" s="43">
        <v>0</v>
      </c>
      <c r="AB477" s="43">
        <v>0</v>
      </c>
      <c r="AC477" s="43">
        <v>0</v>
      </c>
      <c r="AD477" s="43">
        <v>0</v>
      </c>
      <c r="AE477" s="43">
        <v>0</v>
      </c>
      <c r="AF477" s="43">
        <v>0</v>
      </c>
      <c r="AG477" s="43">
        <v>0</v>
      </c>
      <c r="AH477" s="43">
        <v>0</v>
      </c>
      <c r="AI477" s="43">
        <v>0</v>
      </c>
      <c r="AJ477" s="43">
        <v>0</v>
      </c>
      <c r="AK477" s="43">
        <v>0</v>
      </c>
      <c r="AL477" s="43">
        <v>0</v>
      </c>
      <c r="AM477" s="43">
        <v>0</v>
      </c>
      <c r="AN477" s="43">
        <v>0</v>
      </c>
      <c r="AO477" s="43">
        <v>0</v>
      </c>
      <c r="AP477" s="43">
        <v>0</v>
      </c>
      <c r="AQ477" s="43">
        <v>0</v>
      </c>
      <c r="AR477" s="43">
        <v>0</v>
      </c>
      <c r="AS477" s="43">
        <v>0</v>
      </c>
      <c r="AT477" s="43">
        <v>-431810</v>
      </c>
      <c r="AU477" s="43">
        <v>0</v>
      </c>
      <c r="AV477" s="43">
        <v>0</v>
      </c>
      <c r="AW477" s="43">
        <v>0</v>
      </c>
      <c r="AX477" s="43">
        <v>0</v>
      </c>
      <c r="AY477" s="43">
        <v>0</v>
      </c>
      <c r="AZ477" s="43">
        <v>0</v>
      </c>
      <c r="BA477" s="43">
        <v>0</v>
      </c>
      <c r="BB477" s="43">
        <v>0</v>
      </c>
      <c r="BC477" s="43">
        <v>0</v>
      </c>
      <c r="BD477" s="43">
        <v>0</v>
      </c>
      <c r="BE477" s="43">
        <v>0</v>
      </c>
      <c r="BF477" s="43">
        <v>0</v>
      </c>
    </row>
    <row r="478" spans="1:58" ht="13.5" customHeight="1">
      <c r="A478" s="412">
        <f t="shared" si="1053"/>
        <v>472</v>
      </c>
      <c r="B478" s="22" t="s">
        <v>819</v>
      </c>
      <c r="C478" s="65">
        <f t="shared" si="1075"/>
        <v>0</v>
      </c>
      <c r="D478" s="43">
        <v>0</v>
      </c>
      <c r="E478" s="43">
        <v>0</v>
      </c>
      <c r="F478" s="43">
        <v>0</v>
      </c>
      <c r="G478" s="43">
        <v>0</v>
      </c>
      <c r="H478" s="43">
        <v>0</v>
      </c>
      <c r="I478" s="43">
        <v>0</v>
      </c>
      <c r="J478" s="43">
        <v>0</v>
      </c>
      <c r="K478" s="43">
        <v>0</v>
      </c>
      <c r="L478" s="43">
        <v>0</v>
      </c>
      <c r="M478" s="43">
        <v>0</v>
      </c>
      <c r="N478" s="43">
        <v>0</v>
      </c>
      <c r="O478" s="43">
        <v>0</v>
      </c>
      <c r="P478" s="43">
        <v>0</v>
      </c>
      <c r="Q478" s="43">
        <v>0</v>
      </c>
      <c r="R478" s="43">
        <v>0</v>
      </c>
      <c r="S478" s="43">
        <v>0</v>
      </c>
      <c r="T478" s="43">
        <v>0</v>
      </c>
      <c r="U478" s="43">
        <v>0</v>
      </c>
      <c r="V478" s="43">
        <v>0</v>
      </c>
      <c r="W478" s="43">
        <v>0</v>
      </c>
      <c r="X478" s="43">
        <v>0</v>
      </c>
      <c r="Y478" s="43">
        <v>0</v>
      </c>
      <c r="Z478" s="43">
        <v>0</v>
      </c>
      <c r="AA478" s="43">
        <v>0</v>
      </c>
      <c r="AB478" s="43">
        <v>0</v>
      </c>
      <c r="AC478" s="43">
        <v>0</v>
      </c>
      <c r="AD478" s="43">
        <v>0</v>
      </c>
      <c r="AE478" s="43">
        <v>0</v>
      </c>
      <c r="AF478" s="43">
        <v>0</v>
      </c>
      <c r="AG478" s="43">
        <v>0</v>
      </c>
      <c r="AH478" s="43">
        <v>0</v>
      </c>
      <c r="AI478" s="43">
        <v>0</v>
      </c>
      <c r="AJ478" s="43">
        <v>0</v>
      </c>
      <c r="AK478" s="43">
        <v>0</v>
      </c>
      <c r="AL478" s="43">
        <v>0</v>
      </c>
      <c r="AM478" s="43">
        <v>0</v>
      </c>
      <c r="AN478" s="43">
        <v>0</v>
      </c>
      <c r="AO478" s="43">
        <v>0</v>
      </c>
      <c r="AP478" s="43">
        <v>0</v>
      </c>
      <c r="AQ478" s="43">
        <v>0</v>
      </c>
      <c r="AR478" s="43">
        <v>0</v>
      </c>
      <c r="AS478" s="43">
        <v>0</v>
      </c>
      <c r="AT478" s="43">
        <v>0</v>
      </c>
      <c r="AU478" s="43">
        <v>0</v>
      </c>
      <c r="AV478" s="43">
        <v>0</v>
      </c>
      <c r="AW478" s="43">
        <v>0</v>
      </c>
      <c r="AX478" s="43">
        <v>0</v>
      </c>
      <c r="AY478" s="43">
        <v>0</v>
      </c>
      <c r="AZ478" s="43">
        <v>0</v>
      </c>
      <c r="BA478" s="43">
        <v>0</v>
      </c>
      <c r="BB478" s="43">
        <v>0</v>
      </c>
      <c r="BC478" s="43">
        <v>0</v>
      </c>
      <c r="BD478" s="43">
        <v>0</v>
      </c>
      <c r="BE478" s="43">
        <v>0</v>
      </c>
      <c r="BF478" s="43">
        <v>0</v>
      </c>
    </row>
    <row r="479" spans="1:58" ht="13.5" customHeight="1">
      <c r="A479" s="412">
        <f t="shared" si="1053"/>
        <v>473</v>
      </c>
      <c r="B479" s="22" t="s">
        <v>820</v>
      </c>
      <c r="C479" s="65">
        <f t="shared" si="1075"/>
        <v>0</v>
      </c>
      <c r="D479" s="43">
        <v>0</v>
      </c>
      <c r="E479" s="43">
        <v>0</v>
      </c>
      <c r="F479" s="43">
        <v>0</v>
      </c>
      <c r="G479" s="43">
        <v>0</v>
      </c>
      <c r="H479" s="43">
        <v>0</v>
      </c>
      <c r="I479" s="43">
        <v>0</v>
      </c>
      <c r="J479" s="43">
        <v>0</v>
      </c>
      <c r="K479" s="43">
        <v>0</v>
      </c>
      <c r="L479" s="43">
        <v>0</v>
      </c>
      <c r="M479" s="43">
        <v>0</v>
      </c>
      <c r="N479" s="43">
        <v>0</v>
      </c>
      <c r="O479" s="43">
        <v>0</v>
      </c>
      <c r="P479" s="43">
        <v>0</v>
      </c>
      <c r="Q479" s="43">
        <v>0</v>
      </c>
      <c r="R479" s="43">
        <v>0</v>
      </c>
      <c r="S479" s="43">
        <v>0</v>
      </c>
      <c r="T479" s="43">
        <v>0</v>
      </c>
      <c r="U479" s="43">
        <v>0</v>
      </c>
      <c r="V479" s="43">
        <v>0</v>
      </c>
      <c r="W479" s="43">
        <v>0</v>
      </c>
      <c r="X479" s="43">
        <v>0</v>
      </c>
      <c r="Y479" s="43">
        <v>0</v>
      </c>
      <c r="Z479" s="43">
        <v>0</v>
      </c>
      <c r="AA479" s="43">
        <v>0</v>
      </c>
      <c r="AB479" s="43">
        <v>0</v>
      </c>
      <c r="AC479" s="43">
        <v>0</v>
      </c>
      <c r="AD479" s="43">
        <v>0</v>
      </c>
      <c r="AE479" s="43">
        <v>0</v>
      </c>
      <c r="AF479" s="43">
        <v>0</v>
      </c>
      <c r="AG479" s="43">
        <v>0</v>
      </c>
      <c r="AH479" s="43">
        <v>0</v>
      </c>
      <c r="AI479" s="43">
        <v>0</v>
      </c>
      <c r="AJ479" s="43">
        <v>0</v>
      </c>
      <c r="AK479" s="43">
        <v>0</v>
      </c>
      <c r="AL479" s="43">
        <v>0</v>
      </c>
      <c r="AM479" s="43">
        <v>0</v>
      </c>
      <c r="AN479" s="43">
        <v>0</v>
      </c>
      <c r="AO479" s="43">
        <v>0</v>
      </c>
      <c r="AP479" s="43">
        <v>0</v>
      </c>
      <c r="AQ479" s="43">
        <v>0</v>
      </c>
      <c r="AR479" s="43">
        <v>0</v>
      </c>
      <c r="AS479" s="43">
        <v>0</v>
      </c>
      <c r="AT479" s="43">
        <v>0</v>
      </c>
      <c r="AU479" s="43">
        <v>0</v>
      </c>
      <c r="AV479" s="43">
        <v>0</v>
      </c>
      <c r="AW479" s="43">
        <v>0</v>
      </c>
      <c r="AX479" s="43">
        <v>0</v>
      </c>
      <c r="AY479" s="43">
        <v>0</v>
      </c>
      <c r="AZ479" s="43">
        <v>0</v>
      </c>
      <c r="BA479" s="43">
        <v>0</v>
      </c>
      <c r="BB479" s="43">
        <v>0</v>
      </c>
      <c r="BC479" s="43">
        <v>0</v>
      </c>
      <c r="BD479" s="43">
        <v>0</v>
      </c>
      <c r="BE479" s="43">
        <v>0</v>
      </c>
      <c r="BF479" s="43">
        <v>0</v>
      </c>
    </row>
    <row r="480" spans="1:58" ht="13.5" customHeight="1">
      <c r="A480" s="412">
        <f t="shared" si="1053"/>
        <v>474</v>
      </c>
      <c r="B480" s="22" t="s">
        <v>821</v>
      </c>
      <c r="C480" s="65">
        <f t="shared" si="1075"/>
        <v>0</v>
      </c>
      <c r="D480" s="43">
        <v>0</v>
      </c>
      <c r="E480" s="43">
        <v>0</v>
      </c>
      <c r="F480" s="43">
        <v>0</v>
      </c>
      <c r="G480" s="43">
        <v>0</v>
      </c>
      <c r="H480" s="43">
        <v>0</v>
      </c>
      <c r="I480" s="43">
        <v>0</v>
      </c>
      <c r="J480" s="43">
        <v>0</v>
      </c>
      <c r="K480" s="43">
        <v>0</v>
      </c>
      <c r="L480" s="43">
        <v>0</v>
      </c>
      <c r="M480" s="43">
        <v>0</v>
      </c>
      <c r="N480" s="43">
        <v>0</v>
      </c>
      <c r="O480" s="43">
        <v>0</v>
      </c>
      <c r="P480" s="43">
        <v>0</v>
      </c>
      <c r="Q480" s="43">
        <v>0</v>
      </c>
      <c r="R480" s="43">
        <v>0</v>
      </c>
      <c r="S480" s="43">
        <v>0</v>
      </c>
      <c r="T480" s="43">
        <v>0</v>
      </c>
      <c r="U480" s="43">
        <v>0</v>
      </c>
      <c r="V480" s="43">
        <v>0</v>
      </c>
      <c r="W480" s="43">
        <v>0</v>
      </c>
      <c r="X480" s="43">
        <v>0</v>
      </c>
      <c r="Y480" s="43">
        <v>0</v>
      </c>
      <c r="Z480" s="43">
        <v>0</v>
      </c>
      <c r="AA480" s="43">
        <v>0</v>
      </c>
      <c r="AB480" s="43">
        <v>0</v>
      </c>
      <c r="AC480" s="43">
        <v>0</v>
      </c>
      <c r="AD480" s="43">
        <v>0</v>
      </c>
      <c r="AE480" s="43">
        <v>0</v>
      </c>
      <c r="AF480" s="43">
        <v>0</v>
      </c>
      <c r="AG480" s="43">
        <v>0</v>
      </c>
      <c r="AH480" s="43">
        <v>0</v>
      </c>
      <c r="AI480" s="43">
        <v>0</v>
      </c>
      <c r="AJ480" s="43">
        <v>0</v>
      </c>
      <c r="AK480" s="43">
        <v>0</v>
      </c>
      <c r="AL480" s="43">
        <v>0</v>
      </c>
      <c r="AM480" s="43">
        <v>0</v>
      </c>
      <c r="AN480" s="43">
        <v>0</v>
      </c>
      <c r="AO480" s="43">
        <v>0</v>
      </c>
      <c r="AP480" s="43">
        <v>0</v>
      </c>
      <c r="AQ480" s="43">
        <v>0</v>
      </c>
      <c r="AR480" s="43">
        <v>0</v>
      </c>
      <c r="AS480" s="43">
        <v>0</v>
      </c>
      <c r="AT480" s="43">
        <v>0</v>
      </c>
      <c r="AU480" s="43">
        <v>0</v>
      </c>
      <c r="AV480" s="43">
        <v>0</v>
      </c>
      <c r="AW480" s="43">
        <v>0</v>
      </c>
      <c r="AX480" s="43">
        <v>0</v>
      </c>
      <c r="AY480" s="43">
        <v>0</v>
      </c>
      <c r="AZ480" s="43">
        <v>0</v>
      </c>
      <c r="BA480" s="43">
        <v>0</v>
      </c>
      <c r="BB480" s="43">
        <v>0</v>
      </c>
      <c r="BC480" s="43">
        <v>0</v>
      </c>
      <c r="BD480" s="43">
        <v>0</v>
      </c>
      <c r="BE480" s="43">
        <v>0</v>
      </c>
      <c r="BF480" s="43">
        <v>0</v>
      </c>
    </row>
    <row r="481" spans="1:58" ht="14.1" customHeight="1">
      <c r="A481" s="412">
        <f t="shared" si="1053"/>
        <v>475</v>
      </c>
      <c r="B481" s="22" t="s">
        <v>303</v>
      </c>
      <c r="C481" s="65">
        <f t="shared" si="1075"/>
        <v>67254</v>
      </c>
      <c r="D481" s="43">
        <v>0</v>
      </c>
      <c r="E481" s="43">
        <v>0</v>
      </c>
      <c r="F481" s="43">
        <v>0</v>
      </c>
      <c r="G481" s="43">
        <v>0</v>
      </c>
      <c r="H481" s="43">
        <v>0</v>
      </c>
      <c r="I481" s="43">
        <v>0</v>
      </c>
      <c r="J481" s="43">
        <v>0</v>
      </c>
      <c r="K481" s="43">
        <v>0</v>
      </c>
      <c r="L481" s="43">
        <v>0</v>
      </c>
      <c r="M481" s="43">
        <v>0</v>
      </c>
      <c r="N481" s="43">
        <v>0</v>
      </c>
      <c r="O481" s="43">
        <v>0</v>
      </c>
      <c r="P481" s="43">
        <v>0</v>
      </c>
      <c r="Q481" s="43">
        <v>0</v>
      </c>
      <c r="R481" s="43">
        <v>0</v>
      </c>
      <c r="S481" s="43">
        <v>67254</v>
      </c>
      <c r="T481" s="43">
        <v>0</v>
      </c>
      <c r="U481" s="43">
        <v>0</v>
      </c>
      <c r="V481" s="43">
        <v>0</v>
      </c>
      <c r="W481" s="43">
        <v>0</v>
      </c>
      <c r="X481" s="43">
        <v>0</v>
      </c>
      <c r="Y481" s="43">
        <v>0</v>
      </c>
      <c r="Z481" s="43">
        <v>0</v>
      </c>
      <c r="AA481" s="43">
        <v>0</v>
      </c>
      <c r="AB481" s="43">
        <v>0</v>
      </c>
      <c r="AC481" s="43">
        <v>0</v>
      </c>
      <c r="AD481" s="43">
        <v>0</v>
      </c>
      <c r="AE481" s="43">
        <v>0</v>
      </c>
      <c r="AF481" s="43">
        <v>0</v>
      </c>
      <c r="AG481" s="43">
        <v>0</v>
      </c>
      <c r="AH481" s="43">
        <v>0</v>
      </c>
      <c r="AI481" s="43">
        <v>0</v>
      </c>
      <c r="AJ481" s="43">
        <v>0</v>
      </c>
      <c r="AK481" s="43">
        <v>0</v>
      </c>
      <c r="AL481" s="43">
        <v>0</v>
      </c>
      <c r="AM481" s="43">
        <v>0</v>
      </c>
      <c r="AN481" s="43">
        <v>0</v>
      </c>
      <c r="AO481" s="43">
        <v>0</v>
      </c>
      <c r="AP481" s="43">
        <v>0</v>
      </c>
      <c r="AQ481" s="43">
        <v>0</v>
      </c>
      <c r="AR481" s="43">
        <v>0</v>
      </c>
      <c r="AS481" s="43">
        <v>0</v>
      </c>
      <c r="AT481" s="43">
        <v>0</v>
      </c>
      <c r="AU481" s="43">
        <v>0</v>
      </c>
      <c r="AV481" s="43">
        <v>0</v>
      </c>
      <c r="AW481" s="43">
        <v>0</v>
      </c>
      <c r="AX481" s="43">
        <v>0</v>
      </c>
      <c r="AY481" s="43">
        <v>0</v>
      </c>
      <c r="AZ481" s="43">
        <v>0</v>
      </c>
      <c r="BA481" s="43">
        <v>0</v>
      </c>
      <c r="BB481" s="43">
        <v>0</v>
      </c>
      <c r="BC481" s="43">
        <v>0</v>
      </c>
      <c r="BD481" s="43">
        <v>0</v>
      </c>
      <c r="BE481" s="43">
        <v>0</v>
      </c>
      <c r="BF481" s="43">
        <v>0</v>
      </c>
    </row>
    <row r="482" spans="1:58" ht="14.1" customHeight="1">
      <c r="A482" s="412">
        <f t="shared" si="1053"/>
        <v>476</v>
      </c>
      <c r="B482" s="22"/>
      <c r="C482" s="65">
        <f t="shared" si="1075"/>
        <v>0</v>
      </c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</row>
    <row r="483" spans="1:58" ht="14.1" customHeight="1">
      <c r="A483" s="412">
        <f t="shared" si="1053"/>
        <v>477</v>
      </c>
      <c r="B483" s="3" t="s">
        <v>304</v>
      </c>
      <c r="C483" s="65">
        <f t="shared" si="1075"/>
        <v>0</v>
      </c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>
        <v>0</v>
      </c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</row>
    <row r="484" spans="1:58" ht="13.5" customHeight="1">
      <c r="A484" s="412">
        <f t="shared" si="1053"/>
        <v>478</v>
      </c>
      <c r="B484" s="22" t="s">
        <v>305</v>
      </c>
      <c r="C484" s="65">
        <f t="shared" si="1075"/>
        <v>0</v>
      </c>
      <c r="D484" s="43">
        <v>0</v>
      </c>
      <c r="E484" s="43">
        <v>0</v>
      </c>
      <c r="F484" s="43">
        <v>0</v>
      </c>
      <c r="G484" s="43">
        <v>0</v>
      </c>
      <c r="H484" s="43">
        <v>0</v>
      </c>
      <c r="I484" s="43">
        <v>0</v>
      </c>
      <c r="J484" s="43">
        <v>0</v>
      </c>
      <c r="K484" s="43">
        <v>0</v>
      </c>
      <c r="L484" s="43">
        <v>0</v>
      </c>
      <c r="M484" s="43">
        <v>0</v>
      </c>
      <c r="N484" s="43">
        <v>0</v>
      </c>
      <c r="O484" s="43">
        <v>0</v>
      </c>
      <c r="P484" s="43">
        <v>0</v>
      </c>
      <c r="Q484" s="43">
        <v>0</v>
      </c>
      <c r="R484" s="43">
        <v>0</v>
      </c>
      <c r="S484" s="43">
        <v>0</v>
      </c>
      <c r="T484" s="43">
        <v>0</v>
      </c>
      <c r="U484" s="43">
        <v>0</v>
      </c>
      <c r="V484" s="43">
        <v>0</v>
      </c>
      <c r="W484" s="43">
        <v>0</v>
      </c>
      <c r="X484" s="43">
        <v>0</v>
      </c>
      <c r="Y484" s="43">
        <v>0</v>
      </c>
      <c r="Z484" s="43">
        <v>0</v>
      </c>
      <c r="AA484" s="43">
        <v>0</v>
      </c>
      <c r="AB484" s="43">
        <v>0</v>
      </c>
      <c r="AC484" s="43">
        <v>0</v>
      </c>
      <c r="AD484" s="43">
        <v>0</v>
      </c>
      <c r="AE484" s="43">
        <v>0</v>
      </c>
      <c r="AF484" s="43">
        <v>0</v>
      </c>
      <c r="AG484" s="43">
        <v>0</v>
      </c>
      <c r="AH484" s="43">
        <v>0</v>
      </c>
      <c r="AI484" s="43">
        <v>0</v>
      </c>
      <c r="AJ484" s="43">
        <v>0</v>
      </c>
      <c r="AK484" s="43">
        <v>0</v>
      </c>
      <c r="AL484" s="43">
        <v>0</v>
      </c>
      <c r="AM484" s="43">
        <v>0</v>
      </c>
      <c r="AN484" s="43">
        <v>0</v>
      </c>
      <c r="AO484" s="43">
        <v>0</v>
      </c>
      <c r="AP484" s="43">
        <v>0</v>
      </c>
      <c r="AQ484" s="43">
        <v>0</v>
      </c>
      <c r="AR484" s="43">
        <v>0</v>
      </c>
      <c r="AS484" s="43">
        <v>0</v>
      </c>
      <c r="AT484" s="43">
        <v>0</v>
      </c>
      <c r="AU484" s="43">
        <v>0</v>
      </c>
      <c r="AV484" s="43">
        <v>0</v>
      </c>
      <c r="AW484" s="43">
        <v>0</v>
      </c>
      <c r="AX484" s="43">
        <v>0</v>
      </c>
      <c r="AY484" s="43">
        <v>0</v>
      </c>
      <c r="AZ484" s="43">
        <v>0</v>
      </c>
      <c r="BA484" s="43">
        <v>0</v>
      </c>
      <c r="BB484" s="43">
        <v>0</v>
      </c>
      <c r="BC484" s="43">
        <v>0</v>
      </c>
      <c r="BD484" s="43">
        <v>0</v>
      </c>
      <c r="BE484" s="43">
        <v>0</v>
      </c>
      <c r="BF484" s="43">
        <v>0</v>
      </c>
    </row>
    <row r="485" spans="1:58" ht="13.5" customHeight="1">
      <c r="A485" s="412">
        <f t="shared" si="1053"/>
        <v>479</v>
      </c>
      <c r="B485" s="22" t="s">
        <v>306</v>
      </c>
      <c r="C485" s="65">
        <f t="shared" si="1075"/>
        <v>0</v>
      </c>
      <c r="D485" s="43">
        <v>0</v>
      </c>
      <c r="E485" s="43">
        <v>0</v>
      </c>
      <c r="F485" s="43">
        <v>0</v>
      </c>
      <c r="G485" s="43">
        <v>0</v>
      </c>
      <c r="H485" s="43">
        <v>0</v>
      </c>
      <c r="I485" s="43">
        <v>0</v>
      </c>
      <c r="J485" s="43">
        <v>0</v>
      </c>
      <c r="K485" s="43">
        <v>0</v>
      </c>
      <c r="L485" s="43">
        <v>0</v>
      </c>
      <c r="M485" s="43">
        <v>0</v>
      </c>
      <c r="N485" s="43">
        <v>0</v>
      </c>
      <c r="O485" s="43">
        <v>0</v>
      </c>
      <c r="P485" s="43">
        <v>0</v>
      </c>
      <c r="Q485" s="43">
        <v>0</v>
      </c>
      <c r="R485" s="43">
        <v>0</v>
      </c>
      <c r="S485" s="43">
        <v>0</v>
      </c>
      <c r="T485" s="43">
        <v>0</v>
      </c>
      <c r="U485" s="43">
        <v>0</v>
      </c>
      <c r="V485" s="43">
        <v>0</v>
      </c>
      <c r="W485" s="43">
        <v>0</v>
      </c>
      <c r="X485" s="43">
        <v>0</v>
      </c>
      <c r="Y485" s="43">
        <v>0</v>
      </c>
      <c r="Z485" s="43">
        <v>0</v>
      </c>
      <c r="AA485" s="43">
        <v>0</v>
      </c>
      <c r="AB485" s="43">
        <v>0</v>
      </c>
      <c r="AC485" s="43">
        <v>0</v>
      </c>
      <c r="AD485" s="43">
        <v>0</v>
      </c>
      <c r="AE485" s="43">
        <v>0</v>
      </c>
      <c r="AF485" s="43">
        <v>0</v>
      </c>
      <c r="AG485" s="43">
        <v>0</v>
      </c>
      <c r="AH485" s="43">
        <v>0</v>
      </c>
      <c r="AI485" s="43">
        <v>0</v>
      </c>
      <c r="AJ485" s="43">
        <v>0</v>
      </c>
      <c r="AK485" s="43">
        <v>0</v>
      </c>
      <c r="AL485" s="43">
        <v>0</v>
      </c>
      <c r="AM485" s="43">
        <v>0</v>
      </c>
      <c r="AN485" s="43">
        <v>0</v>
      </c>
      <c r="AO485" s="43">
        <v>0</v>
      </c>
      <c r="AP485" s="43">
        <v>0</v>
      </c>
      <c r="AQ485" s="43">
        <v>0</v>
      </c>
      <c r="AR485" s="43">
        <v>0</v>
      </c>
      <c r="AS485" s="43">
        <v>0</v>
      </c>
      <c r="AT485" s="43">
        <v>0</v>
      </c>
      <c r="AU485" s="43">
        <v>0</v>
      </c>
      <c r="AV485" s="43">
        <v>0</v>
      </c>
      <c r="AW485" s="43">
        <v>0</v>
      </c>
      <c r="AX485" s="43">
        <v>0</v>
      </c>
      <c r="AY485" s="43">
        <v>0</v>
      </c>
      <c r="AZ485" s="43">
        <v>0</v>
      </c>
      <c r="BA485" s="43">
        <v>0</v>
      </c>
      <c r="BB485" s="43">
        <v>0</v>
      </c>
      <c r="BC485" s="43">
        <v>0</v>
      </c>
      <c r="BD485" s="43">
        <v>0</v>
      </c>
      <c r="BE485" s="43">
        <v>0</v>
      </c>
      <c r="BF485" s="43">
        <v>0</v>
      </c>
    </row>
    <row r="486" spans="1:58" ht="13.5" customHeight="1">
      <c r="A486" s="412">
        <f t="shared" si="1053"/>
        <v>480</v>
      </c>
      <c r="B486" s="22" t="s">
        <v>796</v>
      </c>
      <c r="C486" s="65">
        <f t="shared" si="1075"/>
        <v>91240.02</v>
      </c>
      <c r="D486" s="43">
        <v>0</v>
      </c>
      <c r="E486" s="43">
        <v>0</v>
      </c>
      <c r="F486" s="43">
        <v>0</v>
      </c>
      <c r="G486" s="43">
        <v>0</v>
      </c>
      <c r="H486" s="43">
        <v>91240.02</v>
      </c>
      <c r="I486" s="43">
        <v>0</v>
      </c>
      <c r="J486" s="43">
        <v>0</v>
      </c>
      <c r="K486" s="43">
        <v>0</v>
      </c>
      <c r="L486" s="43">
        <v>0</v>
      </c>
      <c r="M486" s="43">
        <v>0</v>
      </c>
      <c r="N486" s="43">
        <v>0</v>
      </c>
      <c r="O486" s="43">
        <v>0</v>
      </c>
      <c r="P486" s="43">
        <v>0</v>
      </c>
      <c r="Q486" s="43">
        <v>0</v>
      </c>
      <c r="R486" s="43">
        <v>0</v>
      </c>
      <c r="S486" s="43">
        <v>0</v>
      </c>
      <c r="T486" s="43">
        <v>0</v>
      </c>
      <c r="U486" s="43">
        <v>0</v>
      </c>
      <c r="V486" s="43">
        <v>0</v>
      </c>
      <c r="W486" s="43">
        <v>0</v>
      </c>
      <c r="X486" s="43">
        <v>0</v>
      </c>
      <c r="Y486" s="43">
        <v>0</v>
      </c>
      <c r="Z486" s="43">
        <v>0</v>
      </c>
      <c r="AA486" s="43">
        <v>0</v>
      </c>
      <c r="AB486" s="43">
        <v>0</v>
      </c>
      <c r="AC486" s="43">
        <v>0</v>
      </c>
      <c r="AD486" s="43">
        <v>0</v>
      </c>
      <c r="AE486" s="43">
        <v>0</v>
      </c>
      <c r="AF486" s="43">
        <v>0</v>
      </c>
      <c r="AG486" s="43">
        <v>0</v>
      </c>
      <c r="AH486" s="43">
        <v>0</v>
      </c>
      <c r="AI486" s="43">
        <v>0</v>
      </c>
      <c r="AJ486" s="43">
        <v>0</v>
      </c>
      <c r="AK486" s="43">
        <v>0</v>
      </c>
      <c r="AL486" s="43">
        <v>0</v>
      </c>
      <c r="AM486" s="43">
        <v>0</v>
      </c>
      <c r="AN486" s="43">
        <v>0</v>
      </c>
      <c r="AO486" s="43">
        <v>0</v>
      </c>
      <c r="AP486" s="43">
        <v>0</v>
      </c>
      <c r="AQ486" s="43">
        <v>0</v>
      </c>
      <c r="AR486" s="43">
        <v>0</v>
      </c>
      <c r="AS486" s="43">
        <v>0</v>
      </c>
      <c r="AT486" s="43">
        <v>0</v>
      </c>
      <c r="AU486" s="43">
        <v>0</v>
      </c>
      <c r="AV486" s="43">
        <v>0</v>
      </c>
      <c r="AW486" s="43">
        <v>0</v>
      </c>
      <c r="AX486" s="43">
        <v>0</v>
      </c>
      <c r="AY486" s="43">
        <v>0</v>
      </c>
      <c r="AZ486" s="43">
        <v>0</v>
      </c>
      <c r="BA486" s="43">
        <v>0</v>
      </c>
      <c r="BB486" s="43">
        <v>0</v>
      </c>
      <c r="BC486" s="43">
        <v>0</v>
      </c>
      <c r="BD486" s="43">
        <v>0</v>
      </c>
      <c r="BE486" s="43">
        <v>0</v>
      </c>
      <c r="BF486" s="43">
        <v>0</v>
      </c>
    </row>
    <row r="487" spans="1:58" ht="14.1" customHeight="1">
      <c r="A487" s="412">
        <f t="shared" si="1053"/>
        <v>481</v>
      </c>
      <c r="B487" s="22" t="s">
        <v>307</v>
      </c>
      <c r="C487" s="65">
        <f t="shared" si="1075"/>
        <v>-109495</v>
      </c>
      <c r="D487" s="43">
        <v>0</v>
      </c>
      <c r="E487" s="43">
        <v>0</v>
      </c>
      <c r="F487" s="43">
        <v>0</v>
      </c>
      <c r="G487" s="43">
        <v>0</v>
      </c>
      <c r="H487" s="43">
        <v>0</v>
      </c>
      <c r="I487" s="43">
        <v>0</v>
      </c>
      <c r="J487" s="43">
        <v>0</v>
      </c>
      <c r="K487" s="43">
        <v>0</v>
      </c>
      <c r="L487" s="43">
        <v>0</v>
      </c>
      <c r="M487" s="43">
        <v>0</v>
      </c>
      <c r="N487" s="43">
        <v>0</v>
      </c>
      <c r="O487" s="43">
        <v>0</v>
      </c>
      <c r="P487" s="43">
        <v>0</v>
      </c>
      <c r="Q487" s="43">
        <v>0</v>
      </c>
      <c r="R487" s="43">
        <v>0</v>
      </c>
      <c r="S487" s="43">
        <v>0</v>
      </c>
      <c r="T487" s="43">
        <v>0</v>
      </c>
      <c r="U487" s="43">
        <v>0</v>
      </c>
      <c r="V487" s="43">
        <v>0</v>
      </c>
      <c r="W487" s="43">
        <v>0</v>
      </c>
      <c r="X487" s="43">
        <v>0</v>
      </c>
      <c r="Y487" s="43">
        <v>0</v>
      </c>
      <c r="Z487" s="43">
        <v>0</v>
      </c>
      <c r="AA487" s="43">
        <v>0</v>
      </c>
      <c r="AB487" s="43">
        <v>0</v>
      </c>
      <c r="AC487" s="43">
        <v>0</v>
      </c>
      <c r="AD487" s="43">
        <v>0</v>
      </c>
      <c r="AE487" s="43">
        <v>0</v>
      </c>
      <c r="AF487" s="43">
        <v>0</v>
      </c>
      <c r="AG487" s="43">
        <v>0</v>
      </c>
      <c r="AH487" s="43">
        <v>0</v>
      </c>
      <c r="AI487" s="43">
        <v>0</v>
      </c>
      <c r="AJ487" s="43">
        <v>0</v>
      </c>
      <c r="AK487" s="43">
        <v>0</v>
      </c>
      <c r="AL487" s="43">
        <v>0</v>
      </c>
      <c r="AM487" s="43">
        <v>0</v>
      </c>
      <c r="AN487" s="43">
        <v>0</v>
      </c>
      <c r="AO487" s="43">
        <v>-109495</v>
      </c>
      <c r="AP487" s="43">
        <v>0</v>
      </c>
      <c r="AQ487" s="43">
        <v>0</v>
      </c>
      <c r="AR487" s="43">
        <v>0</v>
      </c>
      <c r="AS487" s="43">
        <v>0</v>
      </c>
      <c r="AT487" s="43">
        <v>0</v>
      </c>
      <c r="AU487" s="43">
        <v>0</v>
      </c>
      <c r="AV487" s="43">
        <v>0</v>
      </c>
      <c r="AW487" s="43">
        <v>0</v>
      </c>
      <c r="AX487" s="43">
        <v>0</v>
      </c>
      <c r="AY487" s="43">
        <v>0</v>
      </c>
      <c r="AZ487" s="43">
        <v>0</v>
      </c>
      <c r="BA487" s="43">
        <v>0</v>
      </c>
      <c r="BB487" s="43">
        <v>0</v>
      </c>
      <c r="BC487" s="43">
        <v>0</v>
      </c>
      <c r="BD487" s="43">
        <v>0</v>
      </c>
      <c r="BE487" s="43">
        <v>0</v>
      </c>
      <c r="BF487" s="43">
        <v>0</v>
      </c>
    </row>
    <row r="488" spans="1:58" ht="14.1" customHeight="1">
      <c r="A488" s="412">
        <f t="shared" si="1053"/>
        <v>482</v>
      </c>
      <c r="B488" s="22" t="s">
        <v>308</v>
      </c>
      <c r="C488" s="65">
        <f t="shared" si="1075"/>
        <v>0</v>
      </c>
      <c r="D488" s="43">
        <v>0</v>
      </c>
      <c r="E488" s="43">
        <v>0</v>
      </c>
      <c r="F488" s="43">
        <v>0</v>
      </c>
      <c r="G488" s="43">
        <v>0</v>
      </c>
      <c r="H488" s="43">
        <v>0</v>
      </c>
      <c r="I488" s="43">
        <v>0</v>
      </c>
      <c r="J488" s="43">
        <v>0</v>
      </c>
      <c r="K488" s="43">
        <v>0</v>
      </c>
      <c r="L488" s="43">
        <v>0</v>
      </c>
      <c r="M488" s="43">
        <v>0</v>
      </c>
      <c r="N488" s="43">
        <v>0</v>
      </c>
      <c r="O488" s="43">
        <v>0</v>
      </c>
      <c r="P488" s="43">
        <v>0</v>
      </c>
      <c r="Q488" s="43">
        <v>0</v>
      </c>
      <c r="R488" s="43">
        <v>0</v>
      </c>
      <c r="S488" s="43">
        <v>0</v>
      </c>
      <c r="T488" s="43">
        <v>0</v>
      </c>
      <c r="U488" s="43">
        <v>0</v>
      </c>
      <c r="V488" s="43">
        <v>0</v>
      </c>
      <c r="W488" s="43">
        <v>0</v>
      </c>
      <c r="X488" s="43">
        <v>0</v>
      </c>
      <c r="Y488" s="43">
        <v>0</v>
      </c>
      <c r="Z488" s="43">
        <v>0</v>
      </c>
      <c r="AA488" s="43">
        <v>0</v>
      </c>
      <c r="AB488" s="43">
        <v>0</v>
      </c>
      <c r="AC488" s="43">
        <v>0</v>
      </c>
      <c r="AD488" s="43">
        <v>0</v>
      </c>
      <c r="AE488" s="43">
        <v>0</v>
      </c>
      <c r="AF488" s="43">
        <v>0</v>
      </c>
      <c r="AG488" s="43">
        <v>0</v>
      </c>
      <c r="AH488" s="43">
        <v>0</v>
      </c>
      <c r="AI488" s="43">
        <v>0</v>
      </c>
      <c r="AJ488" s="43">
        <v>0</v>
      </c>
      <c r="AK488" s="43">
        <v>0</v>
      </c>
      <c r="AL488" s="43">
        <v>0</v>
      </c>
      <c r="AM488" s="43">
        <v>0</v>
      </c>
      <c r="AN488" s="43">
        <v>0</v>
      </c>
      <c r="AO488" s="43">
        <v>0</v>
      </c>
      <c r="AP488" s="43">
        <v>0</v>
      </c>
      <c r="AQ488" s="43">
        <v>0</v>
      </c>
      <c r="AR488" s="43">
        <v>0</v>
      </c>
      <c r="AS488" s="43">
        <v>0</v>
      </c>
      <c r="AT488" s="43">
        <v>0</v>
      </c>
      <c r="AU488" s="43">
        <v>0</v>
      </c>
      <c r="AV488" s="43">
        <v>0</v>
      </c>
      <c r="AW488" s="43">
        <v>0</v>
      </c>
      <c r="AX488" s="43">
        <v>0</v>
      </c>
      <c r="AY488" s="43">
        <v>0</v>
      </c>
      <c r="AZ488" s="43">
        <v>0</v>
      </c>
      <c r="BA488" s="43">
        <v>0</v>
      </c>
      <c r="BB488" s="43">
        <v>0</v>
      </c>
      <c r="BC488" s="43">
        <v>0</v>
      </c>
      <c r="BD488" s="43">
        <v>0</v>
      </c>
      <c r="BE488" s="43">
        <v>0</v>
      </c>
      <c r="BF488" s="43">
        <v>0</v>
      </c>
    </row>
    <row r="489" spans="1:58" ht="14.1" customHeight="1">
      <c r="A489" s="412">
        <f t="shared" si="1053"/>
        <v>483</v>
      </c>
      <c r="B489" s="22" t="s">
        <v>834</v>
      </c>
      <c r="C489" s="65">
        <f t="shared" si="1075"/>
        <v>0</v>
      </c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</row>
    <row r="490" spans="1:58" ht="14.1" customHeight="1">
      <c r="A490" s="412">
        <f t="shared" si="1053"/>
        <v>484</v>
      </c>
      <c r="B490" s="22" t="s">
        <v>835</v>
      </c>
      <c r="C490" s="65">
        <f t="shared" si="1075"/>
        <v>0</v>
      </c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</row>
    <row r="491" spans="1:58" ht="14.1" customHeight="1">
      <c r="A491" s="412">
        <f t="shared" si="1053"/>
        <v>485</v>
      </c>
      <c r="B491" s="56" t="s">
        <v>309</v>
      </c>
      <c r="C491" s="65">
        <f t="shared" si="1075"/>
        <v>0</v>
      </c>
      <c r="D491" s="64">
        <v>0</v>
      </c>
      <c r="E491" s="64">
        <v>0</v>
      </c>
      <c r="F491" s="64">
        <v>0</v>
      </c>
      <c r="G491" s="64">
        <v>0</v>
      </c>
      <c r="H491" s="64">
        <v>0</v>
      </c>
      <c r="I491" s="64">
        <v>0</v>
      </c>
      <c r="J491" s="64">
        <v>0</v>
      </c>
      <c r="K491" s="64">
        <v>0</v>
      </c>
      <c r="L491" s="64">
        <v>0</v>
      </c>
      <c r="M491" s="64">
        <v>0</v>
      </c>
      <c r="N491" s="64">
        <v>0</v>
      </c>
      <c r="O491" s="64">
        <v>0</v>
      </c>
      <c r="P491" s="64">
        <v>0</v>
      </c>
      <c r="Q491" s="64">
        <v>0</v>
      </c>
      <c r="R491" s="64">
        <v>0</v>
      </c>
      <c r="S491" s="64">
        <v>0</v>
      </c>
      <c r="T491" s="64">
        <v>0</v>
      </c>
      <c r="U491" s="64">
        <v>0</v>
      </c>
      <c r="V491" s="64">
        <v>0</v>
      </c>
      <c r="W491" s="64">
        <v>0</v>
      </c>
      <c r="X491" s="64">
        <v>0</v>
      </c>
      <c r="Y491" s="64">
        <v>0</v>
      </c>
      <c r="Z491" s="64">
        <v>0</v>
      </c>
      <c r="AA491" s="64">
        <v>0</v>
      </c>
      <c r="AB491" s="64">
        <v>0</v>
      </c>
      <c r="AC491" s="64">
        <v>0</v>
      </c>
      <c r="AD491" s="64">
        <v>0</v>
      </c>
      <c r="AE491" s="64">
        <v>0</v>
      </c>
      <c r="AF491" s="64">
        <v>0</v>
      </c>
      <c r="AG491" s="64">
        <v>0</v>
      </c>
      <c r="AH491" s="64">
        <v>0</v>
      </c>
      <c r="AI491" s="64">
        <v>0</v>
      </c>
      <c r="AJ491" s="64">
        <v>0</v>
      </c>
      <c r="AK491" s="64">
        <v>0</v>
      </c>
      <c r="AL491" s="64">
        <v>0</v>
      </c>
      <c r="AM491" s="64">
        <v>0</v>
      </c>
      <c r="AN491" s="64">
        <v>0</v>
      </c>
      <c r="AO491" s="64">
        <v>0</v>
      </c>
      <c r="AP491" s="64">
        <v>0</v>
      </c>
      <c r="AQ491" s="64">
        <v>0</v>
      </c>
      <c r="AR491" s="64">
        <v>0</v>
      </c>
      <c r="AS491" s="64">
        <v>0</v>
      </c>
      <c r="AT491" s="64">
        <v>0</v>
      </c>
      <c r="AU491" s="64">
        <v>0</v>
      </c>
      <c r="AV491" s="64">
        <v>0</v>
      </c>
      <c r="AW491" s="64">
        <v>0</v>
      </c>
      <c r="AX491" s="64">
        <v>0</v>
      </c>
      <c r="AY491" s="64">
        <v>0</v>
      </c>
      <c r="AZ491" s="64">
        <v>0</v>
      </c>
      <c r="BA491" s="64">
        <v>0</v>
      </c>
      <c r="BB491" s="64">
        <v>0</v>
      </c>
      <c r="BC491" s="64">
        <v>0</v>
      </c>
      <c r="BD491" s="64">
        <v>0</v>
      </c>
      <c r="BE491" s="64">
        <v>0</v>
      </c>
      <c r="BF491" s="64">
        <v>0</v>
      </c>
    </row>
    <row r="492" spans="1:58" ht="14.1" customHeight="1">
      <c r="A492" s="412">
        <f t="shared" si="1053"/>
        <v>486</v>
      </c>
      <c r="B492" s="13" t="s">
        <v>310</v>
      </c>
      <c r="C492" s="47">
        <f>SUM(C484:C491)</f>
        <v>-18254.979999999996</v>
      </c>
      <c r="D492" s="47">
        <f>SUM(D484:D491)</f>
        <v>0</v>
      </c>
      <c r="E492" s="47">
        <f>SUM(E484:E491)</f>
        <v>0</v>
      </c>
      <c r="F492" s="47">
        <f t="shared" ref="F492" si="1076">SUM(F484:F491)</f>
        <v>0</v>
      </c>
      <c r="G492" s="47">
        <f t="shared" ref="G492" si="1077">SUM(G484:G491)</f>
        <v>0</v>
      </c>
      <c r="H492" s="47">
        <f t="shared" ref="H492:BE492" si="1078">SUM(H484:H491)</f>
        <v>91240.02</v>
      </c>
      <c r="I492" s="47">
        <f>SUM(I484:I491)</f>
        <v>0</v>
      </c>
      <c r="J492" s="47">
        <f>SUM(J484:J491)</f>
        <v>0</v>
      </c>
      <c r="K492" s="47">
        <f>SUM(K484:K491)</f>
        <v>0</v>
      </c>
      <c r="L492" s="47">
        <f t="shared" ref="L492" si="1079">SUM(L484:L491)</f>
        <v>0</v>
      </c>
      <c r="M492" s="47">
        <f t="shared" ref="M492:AC492" si="1080">SUM(M484:M491)</f>
        <v>0</v>
      </c>
      <c r="N492" s="47">
        <f t="shared" si="1080"/>
        <v>0</v>
      </c>
      <c r="O492" s="47">
        <f t="shared" si="1080"/>
        <v>0</v>
      </c>
      <c r="P492" s="47">
        <f t="shared" si="1080"/>
        <v>0</v>
      </c>
      <c r="Q492" s="47">
        <f t="shared" si="1080"/>
        <v>0</v>
      </c>
      <c r="R492" s="47">
        <f t="shared" si="1080"/>
        <v>0</v>
      </c>
      <c r="S492" s="47">
        <f t="shared" si="1080"/>
        <v>0</v>
      </c>
      <c r="T492" s="47">
        <f t="shared" si="1080"/>
        <v>0</v>
      </c>
      <c r="U492" s="47">
        <f t="shared" si="1080"/>
        <v>0</v>
      </c>
      <c r="V492" s="47">
        <f t="shared" si="1080"/>
        <v>0</v>
      </c>
      <c r="W492" s="47">
        <f t="shared" si="1080"/>
        <v>0</v>
      </c>
      <c r="X492" s="47">
        <f t="shared" si="1080"/>
        <v>0</v>
      </c>
      <c r="Y492" s="47">
        <f t="shared" si="1080"/>
        <v>0</v>
      </c>
      <c r="Z492" s="47">
        <f t="shared" si="1080"/>
        <v>0</v>
      </c>
      <c r="AA492" s="47">
        <f t="shared" si="1080"/>
        <v>0</v>
      </c>
      <c r="AB492" s="47">
        <f t="shared" si="1080"/>
        <v>0</v>
      </c>
      <c r="AC492" s="47">
        <f t="shared" si="1080"/>
        <v>0</v>
      </c>
      <c r="AD492" s="47">
        <f t="shared" ref="AD492" si="1081">SUM(AD484:AD491)</f>
        <v>0</v>
      </c>
      <c r="AE492" s="47">
        <f>SUM(AE484:AE491)</f>
        <v>0</v>
      </c>
      <c r="AF492" s="47">
        <f t="shared" ref="AF492" si="1082">SUM(AF484:AF491)</f>
        <v>0</v>
      </c>
      <c r="AG492" s="47">
        <f t="shared" ref="AG492" si="1083">SUM(AG484:AG491)</f>
        <v>0</v>
      </c>
      <c r="AH492" s="47">
        <f>SUM(AH484:AH491)</f>
        <v>0</v>
      </c>
      <c r="AI492" s="47">
        <f>SUM(AI484:AI491)</f>
        <v>0</v>
      </c>
      <c r="AJ492" s="47">
        <f t="shared" ref="AJ492" si="1084">SUM(AJ484:AJ491)</f>
        <v>0</v>
      </c>
      <c r="AK492" s="47">
        <f t="shared" ref="AK492:AU492" si="1085">SUM(AK484:AK491)</f>
        <v>0</v>
      </c>
      <c r="AL492" s="47">
        <f t="shared" si="1085"/>
        <v>0</v>
      </c>
      <c r="AM492" s="47">
        <f t="shared" si="1085"/>
        <v>0</v>
      </c>
      <c r="AN492" s="47">
        <f t="shared" si="1085"/>
        <v>0</v>
      </c>
      <c r="AO492" s="47">
        <f t="shared" si="1085"/>
        <v>-109495</v>
      </c>
      <c r="AP492" s="47">
        <f t="shared" si="1085"/>
        <v>0</v>
      </c>
      <c r="AQ492" s="47">
        <f t="shared" si="1085"/>
        <v>0</v>
      </c>
      <c r="AR492" s="47">
        <f t="shared" si="1085"/>
        <v>0</v>
      </c>
      <c r="AS492" s="47">
        <f t="shared" si="1085"/>
        <v>0</v>
      </c>
      <c r="AT492" s="47">
        <f>SUM(AT484:AT491)</f>
        <v>0</v>
      </c>
      <c r="AU492" s="47">
        <f t="shared" si="1085"/>
        <v>0</v>
      </c>
      <c r="AV492" s="47">
        <f>SUM(AV484:AV491)</f>
        <v>0</v>
      </c>
      <c r="AW492" s="47">
        <f>SUM(AW484:AW491)</f>
        <v>0</v>
      </c>
      <c r="AX492" s="47">
        <f t="shared" si="1078"/>
        <v>0</v>
      </c>
      <c r="AY492" s="47">
        <f t="shared" si="1078"/>
        <v>0</v>
      </c>
      <c r="AZ492" s="47">
        <f t="shared" si="1078"/>
        <v>0</v>
      </c>
      <c r="BA492" s="47">
        <f t="shared" si="1078"/>
        <v>0</v>
      </c>
      <c r="BB492" s="47">
        <f t="shared" si="1078"/>
        <v>0</v>
      </c>
      <c r="BC492" s="47">
        <f t="shared" si="1078"/>
        <v>0</v>
      </c>
      <c r="BD492" s="47">
        <f t="shared" si="1078"/>
        <v>0</v>
      </c>
      <c r="BE492" s="47">
        <f t="shared" si="1078"/>
        <v>0</v>
      </c>
      <c r="BF492" s="47">
        <f>SUM(BF484:BF491)</f>
        <v>0</v>
      </c>
    </row>
    <row r="493" spans="1:58" ht="14.1" customHeight="1">
      <c r="A493" s="412">
        <f t="shared" si="1053"/>
        <v>487</v>
      </c>
      <c r="B493" s="22"/>
      <c r="C493" s="65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</row>
    <row r="494" spans="1:58" ht="14.1" customHeight="1">
      <c r="A494" s="412">
        <f t="shared" si="1053"/>
        <v>488</v>
      </c>
      <c r="B494" s="22"/>
      <c r="C494" s="65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</row>
    <row r="495" spans="1:58" ht="13.9" customHeight="1">
      <c r="A495" s="412">
        <f t="shared" si="1053"/>
        <v>489</v>
      </c>
      <c r="B495" s="13" t="s">
        <v>311</v>
      </c>
      <c r="C495" s="61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</row>
    <row r="496" spans="1:58" ht="13.9" customHeight="1">
      <c r="A496" s="412">
        <f t="shared" si="1053"/>
        <v>490</v>
      </c>
      <c r="B496" s="134" t="s">
        <v>328</v>
      </c>
      <c r="C496" s="38">
        <f>SUM(D496:BF496)</f>
        <v>481719</v>
      </c>
      <c r="D496" s="217">
        <f>ROUND((((D12)-(D23+D25+D26+D28+D29-D503))*$C$505),0)</f>
        <v>-375764</v>
      </c>
      <c r="E496" s="217">
        <f t="shared" ref="E496:AR496" si="1086">ROUND((((E12)-(E23+E25+E26+E28+E29-E503))*$C$505),0)</f>
        <v>-966793</v>
      </c>
      <c r="F496" s="217">
        <f t="shared" si="1086"/>
        <v>781753</v>
      </c>
      <c r="G496" s="217">
        <f t="shared" si="1086"/>
        <v>0</v>
      </c>
      <c r="H496" s="217">
        <f t="shared" si="1086"/>
        <v>-2273053</v>
      </c>
      <c r="I496" s="217">
        <f t="shared" si="1086"/>
        <v>0</v>
      </c>
      <c r="J496" s="217">
        <f t="shared" si="1086"/>
        <v>268715</v>
      </c>
      <c r="K496" s="217">
        <f t="shared" si="1086"/>
        <v>-527196</v>
      </c>
      <c r="L496" s="217">
        <f t="shared" si="1086"/>
        <v>0</v>
      </c>
      <c r="M496" s="217">
        <f t="shared" si="1086"/>
        <v>-182074</v>
      </c>
      <c r="N496" s="217">
        <f t="shared" si="1086"/>
        <v>0</v>
      </c>
      <c r="O496" s="217">
        <f t="shared" si="1086"/>
        <v>0</v>
      </c>
      <c r="P496" s="217">
        <f t="shared" si="1086"/>
        <v>60241</v>
      </c>
      <c r="Q496" s="217">
        <f t="shared" si="1086"/>
        <v>-78364</v>
      </c>
      <c r="R496" s="217">
        <f t="shared" si="1086"/>
        <v>261674</v>
      </c>
      <c r="S496" s="217">
        <f t="shared" si="1086"/>
        <v>-3951</v>
      </c>
      <c r="T496" s="217">
        <f t="shared" si="1086"/>
        <v>-35006</v>
      </c>
      <c r="U496" s="217">
        <f t="shared" si="1086"/>
        <v>71724</v>
      </c>
      <c r="V496" s="217">
        <f t="shared" si="1086"/>
        <v>-22122</v>
      </c>
      <c r="W496" s="217">
        <f t="shared" si="1086"/>
        <v>391</v>
      </c>
      <c r="X496" s="217">
        <f t="shared" si="1086"/>
        <v>5900</v>
      </c>
      <c r="Y496" s="217">
        <f t="shared" si="1086"/>
        <v>2358</v>
      </c>
      <c r="Z496" s="217">
        <f t="shared" si="1086"/>
        <v>0</v>
      </c>
      <c r="AA496" s="217">
        <f t="shared" si="1086"/>
        <v>-25215</v>
      </c>
      <c r="AB496" s="217">
        <f t="shared" si="1086"/>
        <v>30350</v>
      </c>
      <c r="AC496" s="217">
        <f t="shared" si="1086"/>
        <v>675628</v>
      </c>
      <c r="AD496" s="217">
        <f t="shared" si="1086"/>
        <v>-51823</v>
      </c>
      <c r="AE496" s="217">
        <f t="shared" si="1086"/>
        <v>-224739</v>
      </c>
      <c r="AF496" s="217">
        <f t="shared" si="1086"/>
        <v>-6967</v>
      </c>
      <c r="AG496" s="217">
        <f t="shared" si="1086"/>
        <v>3111</v>
      </c>
      <c r="AH496" s="217">
        <f t="shared" si="1086"/>
        <v>1943</v>
      </c>
      <c r="AI496" s="217">
        <f t="shared" si="1086"/>
        <v>206379</v>
      </c>
      <c r="AJ496" s="217">
        <f t="shared" si="1086"/>
        <v>876</v>
      </c>
      <c r="AK496" s="217">
        <f t="shared" si="1086"/>
        <v>16115</v>
      </c>
      <c r="AL496" s="217">
        <f t="shared" si="1086"/>
        <v>0</v>
      </c>
      <c r="AM496" s="217">
        <f t="shared" si="1086"/>
        <v>222046</v>
      </c>
      <c r="AN496" s="217">
        <f t="shared" si="1086"/>
        <v>0</v>
      </c>
      <c r="AO496" s="217">
        <f t="shared" si="1086"/>
        <v>0</v>
      </c>
      <c r="AP496" s="217">
        <f t="shared" si="1086"/>
        <v>31273</v>
      </c>
      <c r="AQ496" s="217">
        <f t="shared" si="1086"/>
        <v>106</v>
      </c>
      <c r="AR496" s="217">
        <f t="shared" si="1086"/>
        <v>-4627</v>
      </c>
      <c r="AS496" s="217">
        <v>976025</v>
      </c>
      <c r="AT496" s="217">
        <v>0</v>
      </c>
      <c r="AU496" s="217">
        <f>ROUND((((AU12)-(AU23+AU25+AU26+AU28+AU29))*$C$505),0)</f>
        <v>0</v>
      </c>
      <c r="AV496" s="217">
        <f>ROUND((((AV12)-(AV23+AV25+AV26+AV28+AV29))*$C$505),0)</f>
        <v>-10139</v>
      </c>
      <c r="AW496" s="217">
        <f>ROUND((((AW12)-(AW23+AW25+AW26+AW28+AW29))*$C$505),0)</f>
        <v>0</v>
      </c>
      <c r="AX496" s="217">
        <f>ROUND((((AX12)-(AX23+AX25+AX26+AX28+AX29-AX503))*$C$505),0)</f>
        <v>-3677</v>
      </c>
      <c r="AY496" s="217">
        <v>1292491</v>
      </c>
      <c r="AZ496" s="217">
        <f>ROUND((((AZ12)-(AZ23+AZ25+AZ26+AZ28+AZ29-AZ503))*$C$505),0)</f>
        <v>399111</v>
      </c>
      <c r="BA496" s="217">
        <f>ROUND((((BA12)-(BA23+BA25+BA26+BA28+BA29-BA503))*$C$505),0)</f>
        <v>-34981</v>
      </c>
      <c r="BB496" s="217">
        <f>ROUND((((BB12)-(BB23+BB25+BB26+BB28+BB29-BB503))*$C$505),0)</f>
        <v>0</v>
      </c>
      <c r="BC496" s="217">
        <f>ROUND((((BC12)-(BC23+BC25+BC26+BC28+BC29-BC503))*$C$505),0)</f>
        <v>0</v>
      </c>
      <c r="BD496" s="217">
        <v>0</v>
      </c>
      <c r="BE496" s="217">
        <f>ROUND((((BE12)-(BE23+BE25+BE26+BE28+BE29-BE503))*$C$505),0)</f>
        <v>0</v>
      </c>
      <c r="BF496" s="217">
        <v>0</v>
      </c>
    </row>
    <row r="497" spans="1:58" ht="14.1" customHeight="1">
      <c r="A497" s="412">
        <f t="shared" si="1053"/>
        <v>491</v>
      </c>
      <c r="B497" s="134" t="s">
        <v>312</v>
      </c>
      <c r="C497" s="38">
        <f>SUM(D497:BF497)</f>
        <v>-4546975</v>
      </c>
      <c r="D497" s="217">
        <f>ROUND((((D12)-(D23+D25+D26+D28+D29-D503+D496))*$C$506),0)</f>
        <v>-2107374</v>
      </c>
      <c r="E497" s="217">
        <f t="shared" ref="E497:AR497" si="1087">ROUND((((E12)-(E23+E25+E26+E28+E29-E503+E496))*$C$506),0)</f>
        <v>-5422002</v>
      </c>
      <c r="F497" s="217">
        <f t="shared" si="1087"/>
        <v>4384255</v>
      </c>
      <c r="G497" s="217">
        <f t="shared" si="1087"/>
        <v>0</v>
      </c>
      <c r="H497" s="217">
        <f t="shared" si="1087"/>
        <v>-12747821</v>
      </c>
      <c r="I497" s="217">
        <f t="shared" si="1087"/>
        <v>0</v>
      </c>
      <c r="J497" s="217">
        <f t="shared" si="1087"/>
        <v>1507015</v>
      </c>
      <c r="K497" s="217">
        <f t="shared" si="1087"/>
        <v>-2956637</v>
      </c>
      <c r="L497" s="217">
        <f t="shared" si="1087"/>
        <v>0</v>
      </c>
      <c r="M497" s="217">
        <f t="shared" si="1087"/>
        <v>-1021114</v>
      </c>
      <c r="N497" s="217">
        <f t="shared" si="1087"/>
        <v>0</v>
      </c>
      <c r="O497" s="217">
        <f t="shared" si="1087"/>
        <v>0</v>
      </c>
      <c r="P497" s="217">
        <f t="shared" si="1087"/>
        <v>337848</v>
      </c>
      <c r="Q497" s="217">
        <f t="shared" si="1087"/>
        <v>-439481</v>
      </c>
      <c r="R497" s="217">
        <f t="shared" si="1087"/>
        <v>1467528</v>
      </c>
      <c r="S497" s="217">
        <f t="shared" si="1087"/>
        <v>-22156</v>
      </c>
      <c r="T497" s="217">
        <f t="shared" si="1087"/>
        <v>-196324</v>
      </c>
      <c r="U497" s="217">
        <f t="shared" si="1087"/>
        <v>402247</v>
      </c>
      <c r="V497" s="217">
        <f t="shared" si="1087"/>
        <v>-124067</v>
      </c>
      <c r="W497" s="217">
        <f t="shared" si="1087"/>
        <v>2193</v>
      </c>
      <c r="X497" s="217">
        <f t="shared" si="1087"/>
        <v>33091</v>
      </c>
      <c r="Y497" s="217">
        <f t="shared" si="1087"/>
        <v>13226</v>
      </c>
      <c r="Z497" s="217">
        <f t="shared" si="1087"/>
        <v>0</v>
      </c>
      <c r="AA497" s="217">
        <f t="shared" si="1087"/>
        <v>-141409</v>
      </c>
      <c r="AB497" s="217">
        <f t="shared" si="1087"/>
        <v>170208</v>
      </c>
      <c r="AC497" s="217">
        <f>ROUND((((AC12)-(AC23+AC25+AC26+AC28+AC29-AC503+AC496))*$C$506),0)</f>
        <v>3789085</v>
      </c>
      <c r="AD497" s="217">
        <f t="shared" si="1087"/>
        <v>-290633</v>
      </c>
      <c r="AE497" s="217">
        <f t="shared" si="1087"/>
        <v>-1260392</v>
      </c>
      <c r="AF497" s="217">
        <f t="shared" si="1087"/>
        <v>-39074</v>
      </c>
      <c r="AG497" s="217">
        <f t="shared" si="1087"/>
        <v>17446</v>
      </c>
      <c r="AH497" s="217">
        <f t="shared" si="1087"/>
        <v>10894</v>
      </c>
      <c r="AI497" s="217">
        <f t="shared" si="1087"/>
        <v>1157423</v>
      </c>
      <c r="AJ497" s="217">
        <f t="shared" si="1087"/>
        <v>4913</v>
      </c>
      <c r="AK497" s="217">
        <f t="shared" si="1087"/>
        <v>90377</v>
      </c>
      <c r="AL497" s="217">
        <f t="shared" si="1087"/>
        <v>0</v>
      </c>
      <c r="AM497" s="217">
        <f t="shared" si="1087"/>
        <v>1245284</v>
      </c>
      <c r="AN497" s="217">
        <f t="shared" si="1087"/>
        <v>0</v>
      </c>
      <c r="AO497" s="217">
        <f t="shared" si="1087"/>
        <v>0</v>
      </c>
      <c r="AP497" s="217">
        <f t="shared" si="1087"/>
        <v>175384</v>
      </c>
      <c r="AQ497" s="217">
        <f t="shared" si="1087"/>
        <v>593</v>
      </c>
      <c r="AR497" s="217">
        <f t="shared" si="1087"/>
        <v>-25952</v>
      </c>
      <c r="AS497" s="217">
        <v>5473803</v>
      </c>
      <c r="AT497" s="217">
        <v>0</v>
      </c>
      <c r="AU497" s="217">
        <f>ROUND((((AU12)-(AU23+AU25+AU26+AU28+AU29+AU496))*$C$506),0)</f>
        <v>0</v>
      </c>
      <c r="AV497" s="217">
        <f>ROUND((((AV12)-(AV23+AV25+AV26+AV28+AV29+AV496))*$C$506),0)</f>
        <v>-56859</v>
      </c>
      <c r="AW497" s="217">
        <f>ROUND((((AW12)-(AW23+AW25+AW26+AW28+AW29+AW496))*$C$506),0)</f>
        <v>0</v>
      </c>
      <c r="AX497" s="217">
        <f>ROUND((((AX12)-(AX23+AX25+AX26+AX28+AX29-AX503+AX496))*$C$506),0)</f>
        <v>-20619</v>
      </c>
      <c r="AY497" s="217">
        <v>0</v>
      </c>
      <c r="AZ497" s="217">
        <f t="shared" ref="AZ497:BF497" si="1088">ROUND((((AZ12)-(AZ23+AZ25+AZ26+AZ28+AZ29-AZ503+AZ496))*$C$506),0)</f>
        <v>2238310</v>
      </c>
      <c r="BA497" s="217">
        <f t="shared" si="1088"/>
        <v>-196184</v>
      </c>
      <c r="BB497" s="217">
        <f t="shared" si="1088"/>
        <v>0</v>
      </c>
      <c r="BC497" s="217">
        <f t="shared" si="1088"/>
        <v>0</v>
      </c>
      <c r="BD497" s="217">
        <f t="shared" si="1088"/>
        <v>0</v>
      </c>
      <c r="BE497" s="217">
        <f t="shared" si="1088"/>
        <v>0</v>
      </c>
      <c r="BF497" s="217">
        <f t="shared" si="1088"/>
        <v>0</v>
      </c>
    </row>
    <row r="498" spans="1:58" ht="14.1" customHeight="1">
      <c r="A498" s="412">
        <f t="shared" si="1053"/>
        <v>492</v>
      </c>
      <c r="B498" s="134" t="s">
        <v>313</v>
      </c>
      <c r="C498" s="38">
        <f>SUM(D498:BF498)</f>
        <v>-1516162</v>
      </c>
      <c r="D498" s="43">
        <f t="shared" ref="D498:BB498" si="1089">ROUND(D503*D504*$C$506*-1,0)</f>
        <v>0</v>
      </c>
      <c r="E498" s="43">
        <f t="shared" ref="E498" si="1090">ROUND(E503*E504*$C$506*-1,0)</f>
        <v>672242</v>
      </c>
      <c r="F498" s="43">
        <f t="shared" ref="F498:G498" si="1091">ROUND(F503*F504*$C$506*-1,0)</f>
        <v>0</v>
      </c>
      <c r="G498" s="43">
        <f t="shared" si="1091"/>
        <v>0</v>
      </c>
      <c r="H498" s="43">
        <f t="shared" si="1089"/>
        <v>281710</v>
      </c>
      <c r="I498" s="43">
        <f>ROUND(I503*I504*$C$506*-1,0)</f>
        <v>1516866</v>
      </c>
      <c r="J498" s="43">
        <f>ROUND(J503*J504*$C$506*-1,0)</f>
        <v>-774180</v>
      </c>
      <c r="K498" s="43">
        <f>ROUND(K503*K504*$C$506*-1,0)</f>
        <v>-60856</v>
      </c>
      <c r="L498" s="43">
        <f t="shared" ref="L498" si="1092">ROUND(L503*L504*$C$506*-1,0)</f>
        <v>-130390</v>
      </c>
      <c r="M498" s="43">
        <f t="shared" ref="M498:AC498" si="1093">ROUND(M503*M504*$C$506*-1,0)</f>
        <v>-841343</v>
      </c>
      <c r="N498" s="43">
        <f t="shared" si="1093"/>
        <v>0</v>
      </c>
      <c r="O498" s="43">
        <f t="shared" si="1093"/>
        <v>0</v>
      </c>
      <c r="P498" s="43">
        <f t="shared" si="1093"/>
        <v>0</v>
      </c>
      <c r="Q498" s="43">
        <f t="shared" si="1093"/>
        <v>0</v>
      </c>
      <c r="R498" s="43">
        <f t="shared" si="1093"/>
        <v>0</v>
      </c>
      <c r="S498" s="43">
        <f t="shared" si="1093"/>
        <v>0</v>
      </c>
      <c r="T498" s="43">
        <f t="shared" si="1093"/>
        <v>0</v>
      </c>
      <c r="U498" s="43">
        <f t="shared" si="1093"/>
        <v>-306107</v>
      </c>
      <c r="V498" s="43">
        <f t="shared" si="1093"/>
        <v>0</v>
      </c>
      <c r="W498" s="43">
        <f t="shared" si="1093"/>
        <v>0</v>
      </c>
      <c r="X498" s="43">
        <f t="shared" si="1093"/>
        <v>0</v>
      </c>
      <c r="Y498" s="43">
        <f t="shared" si="1093"/>
        <v>0</v>
      </c>
      <c r="Z498" s="43">
        <f t="shared" si="1093"/>
        <v>-52038</v>
      </c>
      <c r="AA498" s="43">
        <f t="shared" si="1093"/>
        <v>0</v>
      </c>
      <c r="AB498" s="43">
        <f t="shared" si="1093"/>
        <v>0</v>
      </c>
      <c r="AC498" s="43">
        <f t="shared" si="1093"/>
        <v>0</v>
      </c>
      <c r="AD498" s="43">
        <f t="shared" ref="AD498" si="1094">ROUND(AD503*AD504*$C$506*-1,0)</f>
        <v>0</v>
      </c>
      <c r="AE498" s="43">
        <f>ROUND(AE503*AE504*$C$506*-1,0)</f>
        <v>0</v>
      </c>
      <c r="AF498" s="43">
        <f t="shared" ref="AF498:AG498" si="1095">ROUND(AF503*AF504*$C$506*-1,0)</f>
        <v>0</v>
      </c>
      <c r="AG498" s="43">
        <f t="shared" si="1095"/>
        <v>-23532</v>
      </c>
      <c r="AH498" s="43">
        <f>ROUND(AH503*AH504*$C$506*-1,0)</f>
        <v>0</v>
      </c>
      <c r="AI498" s="43">
        <f>ROUND(AI503*AI504*$C$506*-1,0)</f>
        <v>174772</v>
      </c>
      <c r="AJ498" s="43">
        <f t="shared" ref="AJ498" si="1096">ROUND(AJ503*AJ504*$C$506*-1,0)</f>
        <v>0</v>
      </c>
      <c r="AK498" s="43">
        <f t="shared" ref="AK498:AR498" si="1097">ROUND(AK503*AK504*$C$506*-1,0)</f>
        <v>0</v>
      </c>
      <c r="AL498" s="43">
        <f t="shared" si="1097"/>
        <v>-646487</v>
      </c>
      <c r="AM498" s="43">
        <f t="shared" si="1097"/>
        <v>-942303</v>
      </c>
      <c r="AN498" s="43">
        <f t="shared" si="1097"/>
        <v>1336</v>
      </c>
      <c r="AO498" s="43">
        <f t="shared" si="1097"/>
        <v>38323</v>
      </c>
      <c r="AP498" s="43">
        <f t="shared" si="1097"/>
        <v>0</v>
      </c>
      <c r="AQ498" s="43">
        <f t="shared" si="1097"/>
        <v>0</v>
      </c>
      <c r="AR498" s="43">
        <f t="shared" si="1097"/>
        <v>0</v>
      </c>
      <c r="AS498" s="43">
        <v>0</v>
      </c>
      <c r="AT498" s="43">
        <v>28197</v>
      </c>
      <c r="AU498" s="43">
        <f t="shared" ref="AU498" si="1098">ROUND(AU503*AU504*$C$506*-1,0)</f>
        <v>0</v>
      </c>
      <c r="AV498" s="43">
        <v>0</v>
      </c>
      <c r="AW498" s="43">
        <v>0</v>
      </c>
      <c r="AX498" s="43">
        <f t="shared" si="1089"/>
        <v>0</v>
      </c>
      <c r="AY498" s="43">
        <v>-452372</v>
      </c>
      <c r="AZ498" s="43">
        <f t="shared" si="1089"/>
        <v>0</v>
      </c>
      <c r="BA498" s="43">
        <f t="shared" si="1089"/>
        <v>0</v>
      </c>
      <c r="BB498" s="43">
        <f t="shared" si="1089"/>
        <v>0</v>
      </c>
      <c r="BC498" s="43">
        <f>ROUND(BC503*BC504*$C$506*-1,0)</f>
        <v>0</v>
      </c>
      <c r="BD498" s="43">
        <f>ROUND(BD503*BD504*$C$506*-1,0)</f>
        <v>0</v>
      </c>
      <c r="BE498" s="43">
        <f>ROUND(BE503*BE504*$C$506*-1,0)</f>
        <v>0</v>
      </c>
      <c r="BF498" s="43">
        <f>ROUND(BF503*BF504*$C$506*-1,0)</f>
        <v>0</v>
      </c>
    </row>
    <row r="499" spans="1:58" ht="14.1" customHeight="1">
      <c r="A499" s="412">
        <f t="shared" si="1053"/>
        <v>493</v>
      </c>
      <c r="B499" s="134" t="s">
        <v>314</v>
      </c>
      <c r="C499" s="38">
        <f>SUM(D499:BF499)</f>
        <v>0</v>
      </c>
      <c r="D499" s="43">
        <v>0</v>
      </c>
      <c r="E499" s="43">
        <v>0</v>
      </c>
      <c r="F499" s="43">
        <v>0</v>
      </c>
      <c r="G499" s="43">
        <v>0</v>
      </c>
      <c r="H499" s="43">
        <v>0</v>
      </c>
      <c r="I499" s="43">
        <v>0</v>
      </c>
      <c r="J499" s="43">
        <v>0</v>
      </c>
      <c r="K499" s="43">
        <v>0</v>
      </c>
      <c r="L499" s="43">
        <v>0</v>
      </c>
      <c r="M499" s="43">
        <v>0</v>
      </c>
      <c r="N499" s="43">
        <v>0</v>
      </c>
      <c r="O499" s="43">
        <v>0</v>
      </c>
      <c r="P499" s="43">
        <v>0</v>
      </c>
      <c r="Q499" s="43">
        <v>0</v>
      </c>
      <c r="R499" s="43">
        <v>0</v>
      </c>
      <c r="S499" s="43">
        <v>0</v>
      </c>
      <c r="T499" s="43">
        <v>0</v>
      </c>
      <c r="U499" s="43">
        <v>0</v>
      </c>
      <c r="V499" s="43">
        <v>0</v>
      </c>
      <c r="W499" s="43">
        <v>0</v>
      </c>
      <c r="X499" s="43">
        <v>0</v>
      </c>
      <c r="Y499" s="43">
        <v>0</v>
      </c>
      <c r="Z499" s="43">
        <v>0</v>
      </c>
      <c r="AA499" s="43">
        <v>0</v>
      </c>
      <c r="AB499" s="43">
        <v>0</v>
      </c>
      <c r="AC499" s="43">
        <v>0</v>
      </c>
      <c r="AD499" s="43">
        <v>0</v>
      </c>
      <c r="AE499" s="43">
        <v>0</v>
      </c>
      <c r="AF499" s="43">
        <v>0</v>
      </c>
      <c r="AG499" s="43">
        <v>0</v>
      </c>
      <c r="AH499" s="43">
        <v>0</v>
      </c>
      <c r="AI499" s="43">
        <v>0</v>
      </c>
      <c r="AJ499" s="43">
        <v>0</v>
      </c>
      <c r="AK499" s="43">
        <v>0</v>
      </c>
      <c r="AL499" s="43">
        <v>0</v>
      </c>
      <c r="AM499" s="43">
        <v>0</v>
      </c>
      <c r="AN499" s="43">
        <v>0</v>
      </c>
      <c r="AO499" s="43">
        <v>0</v>
      </c>
      <c r="AP499" s="43">
        <v>0</v>
      </c>
      <c r="AQ499" s="43">
        <v>0</v>
      </c>
      <c r="AR499" s="43">
        <v>0</v>
      </c>
      <c r="AS499" s="43">
        <v>0</v>
      </c>
      <c r="AT499" s="43">
        <v>0</v>
      </c>
      <c r="AU499" s="43">
        <v>0</v>
      </c>
      <c r="AV499" s="43">
        <v>0</v>
      </c>
      <c r="AW499" s="43">
        <v>0</v>
      </c>
      <c r="AX499" s="43">
        <v>0</v>
      </c>
      <c r="AY499" s="43">
        <v>0</v>
      </c>
      <c r="AZ499" s="43">
        <v>0</v>
      </c>
      <c r="BA499" s="43">
        <v>0</v>
      </c>
      <c r="BB499" s="43">
        <v>0</v>
      </c>
      <c r="BC499" s="43">
        <v>0</v>
      </c>
      <c r="BD499" s="43">
        <v>0</v>
      </c>
      <c r="BE499" s="43">
        <v>0</v>
      </c>
      <c r="BF499" s="43">
        <v>0</v>
      </c>
    </row>
    <row r="500" spans="1:58" ht="14.1" customHeight="1">
      <c r="A500" s="412">
        <f t="shared" si="1053"/>
        <v>494</v>
      </c>
      <c r="B500" s="57" t="s">
        <v>329</v>
      </c>
      <c r="C500" s="38">
        <f>SUM(D500:BF500)</f>
        <v>0</v>
      </c>
      <c r="D500" s="43">
        <v>0</v>
      </c>
      <c r="E500" s="43">
        <v>0</v>
      </c>
      <c r="F500" s="43">
        <v>0</v>
      </c>
      <c r="G500" s="43">
        <v>0</v>
      </c>
      <c r="H500" s="43">
        <v>0</v>
      </c>
      <c r="I500" s="43">
        <v>0</v>
      </c>
      <c r="J500" s="43">
        <v>0</v>
      </c>
      <c r="K500" s="43">
        <v>0</v>
      </c>
      <c r="L500" s="43">
        <v>0</v>
      </c>
      <c r="M500" s="43">
        <v>0</v>
      </c>
      <c r="N500" s="43">
        <v>0</v>
      </c>
      <c r="O500" s="43">
        <v>0</v>
      </c>
      <c r="P500" s="43">
        <v>0</v>
      </c>
      <c r="Q500" s="43">
        <v>0</v>
      </c>
      <c r="R500" s="43">
        <v>0</v>
      </c>
      <c r="S500" s="43">
        <v>0</v>
      </c>
      <c r="T500" s="43">
        <v>0</v>
      </c>
      <c r="U500" s="43">
        <v>0</v>
      </c>
      <c r="V500" s="43">
        <v>0</v>
      </c>
      <c r="W500" s="43">
        <v>0</v>
      </c>
      <c r="X500" s="43">
        <v>0</v>
      </c>
      <c r="Y500" s="43">
        <v>0</v>
      </c>
      <c r="Z500" s="43">
        <v>0</v>
      </c>
      <c r="AA500" s="43">
        <v>0</v>
      </c>
      <c r="AB500" s="43">
        <v>0</v>
      </c>
      <c r="AC500" s="43">
        <v>0</v>
      </c>
      <c r="AD500" s="43">
        <v>0</v>
      </c>
      <c r="AE500" s="43">
        <v>0</v>
      </c>
      <c r="AF500" s="43">
        <v>0</v>
      </c>
      <c r="AG500" s="43">
        <v>0</v>
      </c>
      <c r="AH500" s="43">
        <v>0</v>
      </c>
      <c r="AI500" s="43">
        <v>0</v>
      </c>
      <c r="AJ500" s="43">
        <v>0</v>
      </c>
      <c r="AK500" s="43">
        <v>0</v>
      </c>
      <c r="AL500" s="43">
        <v>0</v>
      </c>
      <c r="AM500" s="43">
        <v>0</v>
      </c>
      <c r="AN500" s="43">
        <v>0</v>
      </c>
      <c r="AO500" s="43">
        <v>0</v>
      </c>
      <c r="AP500" s="43">
        <v>0</v>
      </c>
      <c r="AQ500" s="43">
        <v>0</v>
      </c>
      <c r="AR500" s="43">
        <v>0</v>
      </c>
      <c r="AS500" s="43">
        <v>0</v>
      </c>
      <c r="AT500" s="43">
        <v>0</v>
      </c>
      <c r="AU500" s="43">
        <v>0</v>
      </c>
      <c r="AV500" s="43">
        <v>0</v>
      </c>
      <c r="AW500" s="43">
        <v>0</v>
      </c>
      <c r="AX500" s="43">
        <v>0</v>
      </c>
      <c r="AY500" s="43">
        <v>0</v>
      </c>
      <c r="AZ500" s="43">
        <v>0</v>
      </c>
      <c r="BA500" s="43">
        <v>0</v>
      </c>
      <c r="BB500" s="43">
        <v>0</v>
      </c>
      <c r="BC500" s="43">
        <v>0</v>
      </c>
      <c r="BD500" s="43">
        <v>0</v>
      </c>
      <c r="BE500" s="43">
        <v>0</v>
      </c>
      <c r="BF500" s="43">
        <v>0</v>
      </c>
    </row>
    <row r="501" spans="1:58" ht="14.1" customHeight="1">
      <c r="A501" s="412">
        <f t="shared" ref="A501" si="1099">+A500+1</f>
        <v>495</v>
      </c>
      <c r="B501" s="13" t="s">
        <v>315</v>
      </c>
      <c r="C501" s="47">
        <f t="shared" ref="C501:H501" si="1100">SUM(C495:C500)</f>
        <v>-5581418</v>
      </c>
      <c r="D501" s="47">
        <f t="shared" si="1100"/>
        <v>-2483138</v>
      </c>
      <c r="E501" s="47">
        <f t="shared" ref="E501" si="1101">SUM(E495:E500)</f>
        <v>-5716553</v>
      </c>
      <c r="F501" s="47">
        <f t="shared" ref="F501" si="1102">SUM(F495:F500)</f>
        <v>5166008</v>
      </c>
      <c r="G501" s="47">
        <f t="shared" ref="G501" si="1103">SUM(G495:G500)</f>
        <v>0</v>
      </c>
      <c r="H501" s="47">
        <f t="shared" si="1100"/>
        <v>-14739164</v>
      </c>
      <c r="I501" s="47">
        <f>SUM(I495:I500)</f>
        <v>1516866</v>
      </c>
      <c r="J501" s="47">
        <f>SUM(J495:J500)</f>
        <v>1001550</v>
      </c>
      <c r="K501" s="47">
        <f>SUM(K495:K500)</f>
        <v>-3544689</v>
      </c>
      <c r="L501" s="47">
        <f t="shared" ref="L501" si="1104">SUM(L495:L500)</f>
        <v>-130390</v>
      </c>
      <c r="M501" s="47">
        <f t="shared" ref="M501:AC501" si="1105">SUM(M495:M500)</f>
        <v>-2044531</v>
      </c>
      <c r="N501" s="47">
        <f t="shared" si="1105"/>
        <v>0</v>
      </c>
      <c r="O501" s="47">
        <f t="shared" si="1105"/>
        <v>0</v>
      </c>
      <c r="P501" s="47">
        <f t="shared" si="1105"/>
        <v>398089</v>
      </c>
      <c r="Q501" s="47">
        <f t="shared" si="1105"/>
        <v>-517845</v>
      </c>
      <c r="R501" s="47">
        <f t="shared" si="1105"/>
        <v>1729202</v>
      </c>
      <c r="S501" s="47">
        <f t="shared" si="1105"/>
        <v>-26107</v>
      </c>
      <c r="T501" s="47">
        <f t="shared" si="1105"/>
        <v>-231330</v>
      </c>
      <c r="U501" s="47">
        <f t="shared" si="1105"/>
        <v>167864</v>
      </c>
      <c r="V501" s="47">
        <f t="shared" si="1105"/>
        <v>-146189</v>
      </c>
      <c r="W501" s="47">
        <f t="shared" si="1105"/>
        <v>2584</v>
      </c>
      <c r="X501" s="47">
        <f t="shared" si="1105"/>
        <v>38991</v>
      </c>
      <c r="Y501" s="47">
        <f t="shared" si="1105"/>
        <v>15584</v>
      </c>
      <c r="Z501" s="47">
        <f t="shared" si="1105"/>
        <v>-52038</v>
      </c>
      <c r="AA501" s="47">
        <f t="shared" si="1105"/>
        <v>-166624</v>
      </c>
      <c r="AB501" s="47">
        <f t="shared" si="1105"/>
        <v>200558</v>
      </c>
      <c r="AC501" s="47">
        <f t="shared" si="1105"/>
        <v>4464713</v>
      </c>
      <c r="AD501" s="47">
        <f t="shared" ref="AD501" si="1106">SUM(AD495:AD500)</f>
        <v>-342456</v>
      </c>
      <c r="AE501" s="47">
        <f>SUM(AE495:AE500)</f>
        <v>-1485131</v>
      </c>
      <c r="AF501" s="47">
        <f t="shared" ref="AF501" si="1107">SUM(AF495:AF500)</f>
        <v>-46041</v>
      </c>
      <c r="AG501" s="47">
        <f t="shared" ref="AG501" si="1108">SUM(AG495:AG500)</f>
        <v>-2975</v>
      </c>
      <c r="AH501" s="47">
        <f t="shared" ref="AH501:AU501" si="1109">SUM(AH495:AH500)</f>
        <v>12837</v>
      </c>
      <c r="AI501" s="47">
        <f t="shared" si="1109"/>
        <v>1538574</v>
      </c>
      <c r="AJ501" s="47">
        <f t="shared" si="1109"/>
        <v>5789</v>
      </c>
      <c r="AK501" s="47">
        <f t="shared" si="1109"/>
        <v>106492</v>
      </c>
      <c r="AL501" s="47">
        <f t="shared" si="1109"/>
        <v>-646487</v>
      </c>
      <c r="AM501" s="47">
        <f t="shared" si="1109"/>
        <v>525027</v>
      </c>
      <c r="AN501" s="47">
        <f t="shared" si="1109"/>
        <v>1336</v>
      </c>
      <c r="AO501" s="47">
        <f t="shared" si="1109"/>
        <v>38323</v>
      </c>
      <c r="AP501" s="47">
        <f t="shared" si="1109"/>
        <v>206657</v>
      </c>
      <c r="AQ501" s="47">
        <f t="shared" si="1109"/>
        <v>699</v>
      </c>
      <c r="AR501" s="47">
        <f t="shared" si="1109"/>
        <v>-30579</v>
      </c>
      <c r="AS501" s="47">
        <f>SUM(AS495:AS500)</f>
        <v>6449828</v>
      </c>
      <c r="AT501" s="47">
        <f>SUM(AT495:AT500)</f>
        <v>28197</v>
      </c>
      <c r="AU501" s="47">
        <f t="shared" si="1109"/>
        <v>0</v>
      </c>
      <c r="AV501" s="47">
        <f>SUM(AV495:AV500)</f>
        <v>-66998</v>
      </c>
      <c r="AW501" s="47">
        <f>SUM(AW495:AW500)</f>
        <v>0</v>
      </c>
      <c r="AX501" s="47">
        <f t="shared" ref="AX501:BA501" si="1110">SUM(AX495:AX500)</f>
        <v>-24296</v>
      </c>
      <c r="AY501" s="47">
        <f t="shared" si="1110"/>
        <v>840119</v>
      </c>
      <c r="AZ501" s="47">
        <f t="shared" si="1110"/>
        <v>2637421</v>
      </c>
      <c r="BA501" s="47">
        <f t="shared" si="1110"/>
        <v>-231165</v>
      </c>
      <c r="BB501" s="47">
        <f t="shared" ref="BB501:BE501" si="1111">SUM(BB495:BB500)</f>
        <v>0</v>
      </c>
      <c r="BC501" s="47">
        <f t="shared" si="1111"/>
        <v>0</v>
      </c>
      <c r="BD501" s="47">
        <f t="shared" si="1111"/>
        <v>0</v>
      </c>
      <c r="BE501" s="47">
        <f t="shared" si="1111"/>
        <v>0</v>
      </c>
      <c r="BF501" s="47">
        <f>SUM(BF495:BF500)</f>
        <v>0</v>
      </c>
    </row>
    <row r="502" spans="1:58" ht="14.1" customHeight="1">
      <c r="B502" s="22"/>
      <c r="C502" s="22"/>
    </row>
    <row r="503" spans="1:58" ht="14.1" customHeight="1">
      <c r="B503" s="15" t="s">
        <v>849</v>
      </c>
      <c r="C503" s="94">
        <f>SUM(D503:BF503)</f>
        <v>3694476</v>
      </c>
      <c r="D503" s="94">
        <v>0</v>
      </c>
      <c r="E503" s="94">
        <v>-1920691</v>
      </c>
      <c r="F503" s="94">
        <v>0</v>
      </c>
      <c r="G503" s="94">
        <v>0</v>
      </c>
      <c r="H503" s="94">
        <v>-804887</v>
      </c>
      <c r="I503" s="94">
        <v>-4333902</v>
      </c>
      <c r="J503" s="94">
        <v>2211942</v>
      </c>
      <c r="K503" s="94">
        <v>173875</v>
      </c>
      <c r="L503" s="94">
        <v>372542</v>
      </c>
      <c r="M503" s="94">
        <v>2403838</v>
      </c>
      <c r="N503" s="94">
        <v>0</v>
      </c>
      <c r="O503" s="94">
        <v>0</v>
      </c>
      <c r="P503" s="94">
        <v>0</v>
      </c>
      <c r="Q503" s="94">
        <v>0</v>
      </c>
      <c r="R503" s="94">
        <v>0</v>
      </c>
      <c r="S503" s="94">
        <v>0</v>
      </c>
      <c r="T503" s="94">
        <v>0</v>
      </c>
      <c r="U503" s="94">
        <v>874592</v>
      </c>
      <c r="V503" s="94">
        <v>0</v>
      </c>
      <c r="W503" s="94">
        <v>0</v>
      </c>
      <c r="X503" s="94">
        <v>0</v>
      </c>
      <c r="Y503" s="94">
        <v>0</v>
      </c>
      <c r="Z503" s="94">
        <v>148679</v>
      </c>
      <c r="AA503" s="94">
        <v>0</v>
      </c>
      <c r="AB503" s="94">
        <v>0</v>
      </c>
      <c r="AC503" s="94">
        <v>0</v>
      </c>
      <c r="AD503" s="94">
        <v>0</v>
      </c>
      <c r="AE503" s="94">
        <v>0</v>
      </c>
      <c r="AF503" s="94">
        <v>0</v>
      </c>
      <c r="AG503" s="94">
        <v>67233</v>
      </c>
      <c r="AH503" s="94">
        <v>0</v>
      </c>
      <c r="AI503" s="94">
        <v>-499348</v>
      </c>
      <c r="AJ503" s="94">
        <v>0</v>
      </c>
      <c r="AK503" s="94">
        <v>0</v>
      </c>
      <c r="AL503" s="94">
        <v>2037359</v>
      </c>
      <c r="AM503" s="94">
        <v>3076557</v>
      </c>
      <c r="AN503" s="94">
        <v>-3818</v>
      </c>
      <c r="AO503" s="94">
        <v>-109495</v>
      </c>
      <c r="AP503" s="94">
        <v>0</v>
      </c>
      <c r="AQ503" s="94">
        <v>0</v>
      </c>
      <c r="AR503" s="94">
        <v>0</v>
      </c>
      <c r="AS503" s="94">
        <v>0</v>
      </c>
      <c r="AT503" s="94">
        <v>0</v>
      </c>
      <c r="AU503" s="94">
        <v>0</v>
      </c>
      <c r="AV503" s="94">
        <v>0</v>
      </c>
      <c r="AW503" s="94">
        <v>0</v>
      </c>
      <c r="AX503" s="94">
        <v>0</v>
      </c>
      <c r="AY503" s="94">
        <v>0</v>
      </c>
      <c r="AZ503" s="94">
        <v>0</v>
      </c>
      <c r="BA503" s="94">
        <v>0</v>
      </c>
      <c r="BB503" s="94">
        <v>0</v>
      </c>
      <c r="BC503" s="94">
        <v>0</v>
      </c>
      <c r="BD503" s="94">
        <v>0</v>
      </c>
      <c r="BE503" s="94">
        <v>0</v>
      </c>
      <c r="BF503" s="94">
        <v>0</v>
      </c>
    </row>
    <row r="504" spans="1:58" ht="14.1" customHeight="1">
      <c r="B504" s="15" t="s">
        <v>850</v>
      </c>
      <c r="C504" s="198"/>
      <c r="D504" s="96">
        <v>1</v>
      </c>
      <c r="E504" s="96">
        <v>1</v>
      </c>
      <c r="F504" s="96">
        <v>1</v>
      </c>
      <c r="G504" s="96">
        <v>1</v>
      </c>
      <c r="H504" s="96">
        <v>1</v>
      </c>
      <c r="I504" s="96">
        <v>1</v>
      </c>
      <c r="J504" s="96">
        <v>1</v>
      </c>
      <c r="K504" s="96">
        <v>1</v>
      </c>
      <c r="L504" s="96">
        <v>1</v>
      </c>
      <c r="M504" s="96">
        <v>1</v>
      </c>
      <c r="N504" s="96">
        <v>1</v>
      </c>
      <c r="O504" s="96">
        <v>1</v>
      </c>
      <c r="P504" s="96">
        <v>1</v>
      </c>
      <c r="Q504" s="96">
        <v>1</v>
      </c>
      <c r="R504" s="96">
        <v>1</v>
      </c>
      <c r="S504" s="96">
        <v>1</v>
      </c>
      <c r="T504" s="96">
        <v>1</v>
      </c>
      <c r="U504" s="96">
        <v>1</v>
      </c>
      <c r="V504" s="96">
        <v>1</v>
      </c>
      <c r="W504" s="96">
        <v>1</v>
      </c>
      <c r="X504" s="96">
        <v>1</v>
      </c>
      <c r="Y504" s="96">
        <v>1</v>
      </c>
      <c r="Z504" s="96">
        <v>1</v>
      </c>
      <c r="AA504" s="96">
        <v>1</v>
      </c>
      <c r="AB504" s="96">
        <v>1</v>
      </c>
      <c r="AC504" s="96">
        <v>1</v>
      </c>
      <c r="AD504" s="96">
        <v>1</v>
      </c>
      <c r="AE504" s="96">
        <v>1</v>
      </c>
      <c r="AF504" s="96">
        <v>1</v>
      </c>
      <c r="AG504" s="96">
        <v>1</v>
      </c>
      <c r="AH504" s="96">
        <v>1</v>
      </c>
      <c r="AI504" s="96">
        <v>1</v>
      </c>
      <c r="AJ504" s="96">
        <v>1</v>
      </c>
      <c r="AK504" s="96">
        <v>1</v>
      </c>
      <c r="AL504" s="96">
        <v>0.90661800000000003</v>
      </c>
      <c r="AM504" s="96">
        <v>0.87509999999999999</v>
      </c>
      <c r="AN504" s="96">
        <v>1</v>
      </c>
      <c r="AO504" s="96">
        <v>1</v>
      </c>
      <c r="AP504" s="96">
        <v>1</v>
      </c>
      <c r="AQ504" s="96">
        <v>1</v>
      </c>
      <c r="AR504" s="96">
        <v>1</v>
      </c>
      <c r="AS504" s="96">
        <v>1</v>
      </c>
      <c r="AT504" s="96">
        <v>1</v>
      </c>
      <c r="AU504" s="96">
        <v>1</v>
      </c>
      <c r="AV504" s="96">
        <v>1</v>
      </c>
      <c r="AW504" s="96">
        <v>1</v>
      </c>
      <c r="AX504" s="96">
        <v>1</v>
      </c>
      <c r="AY504" s="96">
        <v>1</v>
      </c>
      <c r="AZ504" s="96">
        <v>1</v>
      </c>
      <c r="BA504" s="96">
        <v>1</v>
      </c>
      <c r="BB504" s="96">
        <v>1</v>
      </c>
      <c r="BC504" s="96">
        <v>1</v>
      </c>
      <c r="BD504" s="96">
        <v>1</v>
      </c>
      <c r="BE504" s="96">
        <v>1</v>
      </c>
      <c r="BF504" s="96">
        <v>1</v>
      </c>
    </row>
    <row r="505" spans="1:58" ht="14.1" customHeight="1">
      <c r="B505" s="205" t="s">
        <v>388</v>
      </c>
      <c r="C505" s="342">
        <f>'2 P2'!G53</f>
        <v>5.8742210000000003E-2</v>
      </c>
    </row>
    <row r="506" spans="1:58" ht="14.1" customHeight="1">
      <c r="B506" s="205" t="s">
        <v>389</v>
      </c>
      <c r="C506" s="343">
        <v>0.35</v>
      </c>
    </row>
    <row r="507" spans="1:58" ht="14.1" customHeight="1">
      <c r="B507" s="205"/>
      <c r="C507" s="218"/>
    </row>
    <row r="508" spans="1:58" ht="14.1" customHeight="1">
      <c r="B508" s="205"/>
      <c r="C508" s="262"/>
    </row>
    <row r="509" spans="1:58" ht="14.1" customHeight="1">
      <c r="B509" s="22"/>
      <c r="C509" s="22"/>
    </row>
    <row r="510" spans="1:58" ht="14.1" customHeight="1">
      <c r="B510" s="22"/>
      <c r="C510" s="22"/>
    </row>
    <row r="511" spans="1:58" ht="14.1" customHeight="1">
      <c r="B511" s="22"/>
      <c r="C511" s="22"/>
    </row>
    <row r="512" spans="1:58" ht="14.1" customHeight="1">
      <c r="B512" s="22"/>
      <c r="C512" s="22"/>
    </row>
    <row r="513" spans="2:3" ht="14.1" customHeight="1">
      <c r="B513" s="22"/>
      <c r="C513" s="22"/>
    </row>
    <row r="514" spans="2:3" ht="14.1" customHeight="1">
      <c r="B514" s="22"/>
      <c r="C514" s="22"/>
    </row>
    <row r="515" spans="2:3" ht="14.1" customHeight="1">
      <c r="B515" s="22"/>
      <c r="C515" s="22"/>
    </row>
    <row r="516" spans="2:3" ht="14.1" customHeight="1">
      <c r="B516" s="22"/>
      <c r="C516" s="22"/>
    </row>
    <row r="517" spans="2:3" ht="14.1" customHeight="1">
      <c r="B517" s="22"/>
      <c r="C517" s="22"/>
    </row>
    <row r="518" spans="2:3" ht="14.1" customHeight="1">
      <c r="B518" s="22"/>
      <c r="C518" s="22"/>
    </row>
    <row r="519" spans="2:3" ht="14.1" customHeight="1">
      <c r="B519" s="22"/>
      <c r="C519" s="22"/>
    </row>
    <row r="520" spans="2:3" ht="14.1" customHeight="1">
      <c r="B520" s="22"/>
      <c r="C520" s="22"/>
    </row>
    <row r="521" spans="2:3" ht="14.1" customHeight="1">
      <c r="B521" s="22"/>
      <c r="C521" s="22"/>
    </row>
    <row r="522" spans="2:3" ht="14.1" customHeight="1">
      <c r="B522" s="22"/>
      <c r="C522" s="22"/>
    </row>
    <row r="523" spans="2:3" ht="14.1" customHeight="1">
      <c r="B523" s="22"/>
      <c r="C523" s="22"/>
    </row>
    <row r="524" spans="2:3" ht="14.1" customHeight="1">
      <c r="B524" s="22"/>
      <c r="C524" s="22"/>
    </row>
    <row r="525" spans="2:3" ht="14.1" customHeight="1">
      <c r="B525" s="22"/>
      <c r="C525" s="22"/>
    </row>
    <row r="526" spans="2:3" ht="14.1" customHeight="1">
      <c r="B526" s="22"/>
      <c r="C526" s="22"/>
    </row>
    <row r="527" spans="2:3" ht="14.1" customHeight="1">
      <c r="B527" s="22"/>
      <c r="C527" s="22"/>
    </row>
    <row r="528" spans="2:3" ht="14.1" customHeight="1">
      <c r="B528" s="22"/>
      <c r="C528" s="22"/>
    </row>
    <row r="529" spans="2:3" ht="14.1" customHeight="1">
      <c r="B529" s="22"/>
      <c r="C529" s="22"/>
    </row>
    <row r="530" spans="2:3" ht="14.1" customHeight="1">
      <c r="B530" s="22"/>
      <c r="C530" s="22"/>
    </row>
    <row r="531" spans="2:3" ht="14.1" customHeight="1">
      <c r="B531" s="22"/>
      <c r="C531" s="22"/>
    </row>
    <row r="532" spans="2:3" ht="14.1" customHeight="1">
      <c r="B532" s="22"/>
      <c r="C532" s="22"/>
    </row>
    <row r="533" spans="2:3" ht="14.1" customHeight="1">
      <c r="B533" s="22"/>
      <c r="C533" s="22"/>
    </row>
    <row r="534" spans="2:3" ht="14.1" customHeight="1">
      <c r="B534" s="22"/>
      <c r="C534" s="22"/>
    </row>
    <row r="535" spans="2:3" ht="14.1" customHeight="1">
      <c r="B535" s="22"/>
      <c r="C535" s="22"/>
    </row>
    <row r="536" spans="2:3" ht="14.1" customHeight="1">
      <c r="B536" s="22"/>
      <c r="C536" s="22"/>
    </row>
    <row r="537" spans="2:3" ht="14.1" customHeight="1">
      <c r="B537" s="22"/>
      <c r="C537" s="22"/>
    </row>
    <row r="538" spans="2:3" ht="14.1" customHeight="1">
      <c r="B538" s="22"/>
      <c r="C538" s="22"/>
    </row>
    <row r="539" spans="2:3" ht="14.1" customHeight="1">
      <c r="B539" s="22"/>
      <c r="C539" s="22"/>
    </row>
    <row r="540" spans="2:3" ht="14.1" customHeight="1">
      <c r="B540" s="22"/>
      <c r="C540" s="22"/>
    </row>
    <row r="541" spans="2:3" ht="14.1" customHeight="1">
      <c r="B541" s="22"/>
      <c r="C541" s="22"/>
    </row>
    <row r="542" spans="2:3" ht="14.1" customHeight="1">
      <c r="B542" s="22"/>
      <c r="C542" s="22"/>
    </row>
    <row r="543" spans="2:3" ht="14.1" customHeight="1">
      <c r="B543" s="22"/>
      <c r="C543" s="22"/>
    </row>
    <row r="544" spans="2:3" ht="14.1" customHeight="1">
      <c r="B544" s="22"/>
      <c r="C544" s="22"/>
    </row>
    <row r="545" spans="2:3" ht="14.1" customHeight="1">
      <c r="B545" s="22"/>
      <c r="C545" s="22"/>
    </row>
    <row r="546" spans="2:3" ht="14.1" customHeight="1">
      <c r="B546" s="22"/>
      <c r="C546" s="22"/>
    </row>
    <row r="547" spans="2:3" ht="14.1" customHeight="1">
      <c r="B547" s="22"/>
      <c r="C547" s="22"/>
    </row>
    <row r="548" spans="2:3" ht="14.1" customHeight="1">
      <c r="B548" s="22"/>
      <c r="C548" s="22"/>
    </row>
    <row r="549" spans="2:3" ht="14.1" customHeight="1">
      <c r="B549" s="22"/>
      <c r="C549" s="22"/>
    </row>
    <row r="550" spans="2:3" ht="14.1" customHeight="1">
      <c r="B550" s="22"/>
      <c r="C550" s="22"/>
    </row>
    <row r="551" spans="2:3" ht="14.1" customHeight="1">
      <c r="B551" s="22"/>
      <c r="C551" s="22"/>
    </row>
    <row r="552" spans="2:3" ht="14.1" customHeight="1">
      <c r="B552" s="22"/>
      <c r="C552" s="22"/>
    </row>
    <row r="553" spans="2:3" ht="14.1" customHeight="1">
      <c r="B553" s="22"/>
      <c r="C553" s="22"/>
    </row>
    <row r="554" spans="2:3" ht="14.1" customHeight="1">
      <c r="B554" s="22"/>
      <c r="C554" s="22"/>
    </row>
    <row r="555" spans="2:3" ht="14.1" customHeight="1">
      <c r="B555" s="22"/>
      <c r="C555" s="22"/>
    </row>
    <row r="556" spans="2:3" ht="14.1" customHeight="1">
      <c r="B556" s="22"/>
      <c r="C556" s="22"/>
    </row>
    <row r="557" spans="2:3" ht="14.1" customHeight="1">
      <c r="B557" s="22"/>
      <c r="C557" s="22"/>
    </row>
    <row r="558" spans="2:3" ht="14.1" customHeight="1">
      <c r="B558" s="22"/>
      <c r="C558" s="22"/>
    </row>
    <row r="559" spans="2:3" ht="14.1" customHeight="1">
      <c r="B559" s="22"/>
      <c r="C559" s="22"/>
    </row>
    <row r="560" spans="2:3" ht="14.1" customHeight="1">
      <c r="B560" s="22"/>
      <c r="C560" s="22"/>
    </row>
    <row r="561" spans="2:3" ht="14.1" customHeight="1">
      <c r="B561" s="22"/>
      <c r="C561" s="22"/>
    </row>
    <row r="562" spans="2:3" ht="14.1" customHeight="1">
      <c r="B562" s="22"/>
      <c r="C562" s="22"/>
    </row>
    <row r="563" spans="2:3" ht="14.1" customHeight="1">
      <c r="B563" s="22"/>
      <c r="C563" s="22"/>
    </row>
    <row r="564" spans="2:3" ht="14.1" customHeight="1">
      <c r="B564" s="22"/>
      <c r="C564" s="22"/>
    </row>
    <row r="565" spans="2:3" ht="14.1" customHeight="1">
      <c r="B565" s="22"/>
      <c r="C565" s="22"/>
    </row>
    <row r="566" spans="2:3" ht="14.1" customHeight="1">
      <c r="B566" s="22"/>
      <c r="C566" s="22"/>
    </row>
    <row r="567" spans="2:3" ht="14.1" customHeight="1">
      <c r="B567" s="22"/>
      <c r="C567" s="22"/>
    </row>
    <row r="568" spans="2:3" ht="14.1" customHeight="1">
      <c r="B568" s="22"/>
      <c r="C568" s="22"/>
    </row>
    <row r="569" spans="2:3" ht="14.1" customHeight="1">
      <c r="B569" s="22"/>
      <c r="C569" s="22"/>
    </row>
    <row r="570" spans="2:3" ht="14.1" customHeight="1">
      <c r="B570" s="22"/>
      <c r="C570" s="22"/>
    </row>
    <row r="571" spans="2:3" ht="14.1" customHeight="1">
      <c r="B571" s="22"/>
      <c r="C571" s="22"/>
    </row>
    <row r="572" spans="2:3" ht="14.1" customHeight="1">
      <c r="B572" s="22"/>
      <c r="C572" s="22"/>
    </row>
    <row r="573" spans="2:3" ht="14.1" customHeight="1">
      <c r="B573" s="22"/>
      <c r="C573" s="22"/>
    </row>
    <row r="574" spans="2:3" ht="14.1" customHeight="1">
      <c r="B574" s="22"/>
      <c r="C574" s="22"/>
    </row>
    <row r="575" spans="2:3" ht="14.1" customHeight="1">
      <c r="B575" s="22"/>
      <c r="C575" s="22"/>
    </row>
    <row r="576" spans="2:3" ht="14.1" customHeight="1">
      <c r="B576" s="22"/>
      <c r="C576" s="22"/>
    </row>
    <row r="577" spans="2:3" ht="14.1" customHeight="1">
      <c r="B577" s="22"/>
      <c r="C577" s="22"/>
    </row>
    <row r="578" spans="2:3" ht="14.1" customHeight="1">
      <c r="B578" s="22"/>
      <c r="C578" s="22"/>
    </row>
    <row r="579" spans="2:3" ht="14.1" customHeight="1">
      <c r="B579" s="22"/>
      <c r="C579" s="22"/>
    </row>
    <row r="580" spans="2:3" ht="14.1" customHeight="1">
      <c r="B580" s="22"/>
      <c r="C580" s="22"/>
    </row>
    <row r="581" spans="2:3" ht="14.1" customHeight="1">
      <c r="B581" s="22"/>
      <c r="C581" s="22"/>
    </row>
    <row r="582" spans="2:3" ht="14.1" customHeight="1">
      <c r="B582" s="22"/>
      <c r="C582" s="22"/>
    </row>
    <row r="583" spans="2:3" ht="14.1" customHeight="1">
      <c r="B583" s="22"/>
      <c r="C583" s="22"/>
    </row>
    <row r="584" spans="2:3" ht="14.1" customHeight="1">
      <c r="B584" s="22"/>
      <c r="C584" s="22"/>
    </row>
    <row r="585" spans="2:3" ht="14.1" customHeight="1">
      <c r="B585" s="22"/>
      <c r="C585" s="22"/>
    </row>
    <row r="586" spans="2:3" ht="14.1" customHeight="1">
      <c r="B586" s="22"/>
      <c r="C586" s="22"/>
    </row>
    <row r="587" spans="2:3" ht="14.1" customHeight="1">
      <c r="B587" s="22"/>
      <c r="C587" s="22"/>
    </row>
    <row r="588" spans="2:3" ht="14.1" customHeight="1">
      <c r="B588" s="22"/>
      <c r="C588" s="22"/>
    </row>
    <row r="589" spans="2:3" ht="14.1" customHeight="1">
      <c r="B589" s="22"/>
      <c r="C589" s="22"/>
    </row>
    <row r="590" spans="2:3" ht="14.1" customHeight="1">
      <c r="B590" s="22"/>
      <c r="C590" s="22"/>
    </row>
    <row r="591" spans="2:3" ht="14.1" customHeight="1">
      <c r="B591" s="22"/>
      <c r="C591" s="22"/>
    </row>
    <row r="592" spans="2:3" ht="14.1" customHeight="1">
      <c r="B592" s="22"/>
      <c r="C592" s="22"/>
    </row>
    <row r="593" spans="2:3" ht="14.1" customHeight="1">
      <c r="B593" s="22"/>
      <c r="C593" s="22"/>
    </row>
    <row r="594" spans="2:3" ht="14.1" customHeight="1">
      <c r="B594" s="22"/>
      <c r="C594" s="22"/>
    </row>
    <row r="595" spans="2:3" ht="14.1" customHeight="1">
      <c r="B595" s="22"/>
      <c r="C595" s="22"/>
    </row>
    <row r="596" spans="2:3" ht="14.1" customHeight="1">
      <c r="B596" s="22"/>
      <c r="C596" s="22"/>
    </row>
    <row r="597" spans="2:3" ht="14.1" customHeight="1">
      <c r="B597" s="22"/>
      <c r="C597" s="22"/>
    </row>
    <row r="598" spans="2:3" ht="14.1" customHeight="1">
      <c r="B598" s="22"/>
      <c r="C598" s="22"/>
    </row>
    <row r="599" spans="2:3" ht="14.1" customHeight="1">
      <c r="B599" s="22"/>
      <c r="C599" s="22"/>
    </row>
    <row r="600" spans="2:3" ht="14.1" customHeight="1">
      <c r="B600" s="22"/>
      <c r="C600" s="22"/>
    </row>
    <row r="601" spans="2:3" ht="14.1" customHeight="1">
      <c r="B601" s="22"/>
      <c r="C601" s="22"/>
    </row>
    <row r="602" spans="2:3" ht="14.1" customHeight="1">
      <c r="B602" s="22"/>
      <c r="C602" s="22"/>
    </row>
    <row r="603" spans="2:3" ht="14.1" customHeight="1">
      <c r="B603" s="22"/>
      <c r="C603" s="22"/>
    </row>
    <row r="604" spans="2:3" ht="14.1" customHeight="1">
      <c r="B604" s="22"/>
      <c r="C604" s="22"/>
    </row>
    <row r="605" spans="2:3" ht="14.1" customHeight="1">
      <c r="B605" s="22"/>
      <c r="C605" s="22"/>
    </row>
    <row r="606" spans="2:3" ht="14.1" customHeight="1">
      <c r="B606" s="22"/>
      <c r="C606" s="22"/>
    </row>
    <row r="607" spans="2:3" ht="14.1" customHeight="1">
      <c r="B607" s="22"/>
      <c r="C607" s="22"/>
    </row>
    <row r="608" spans="2:3" ht="14.1" customHeight="1">
      <c r="B608" s="22"/>
      <c r="C608" s="22"/>
    </row>
    <row r="609" spans="2:3" ht="14.1" customHeight="1">
      <c r="B609" s="22"/>
      <c r="C609" s="22"/>
    </row>
    <row r="610" spans="2:3" ht="14.1" customHeight="1">
      <c r="B610" s="22"/>
      <c r="C610" s="22"/>
    </row>
    <row r="647" spans="1:58" s="14" customFormat="1" ht="14.1" customHeight="1">
      <c r="A647" s="412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  <c r="AV647" s="89"/>
      <c r="AW647" s="89"/>
      <c r="AX647" s="89"/>
      <c r="AY647" s="89"/>
      <c r="AZ647" s="89"/>
      <c r="BA647" s="89"/>
      <c r="BB647" s="89"/>
      <c r="BC647" s="89"/>
      <c r="BD647" s="89"/>
      <c r="BE647" s="89"/>
      <c r="BF647" s="89"/>
    </row>
    <row r="648" spans="1:58" s="14" customFormat="1" ht="14.1" customHeight="1">
      <c r="A648" s="412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  <c r="AV648" s="89"/>
      <c r="AW648" s="89"/>
      <c r="AX648" s="89"/>
      <c r="AY648" s="89"/>
      <c r="AZ648" s="89"/>
      <c r="BA648" s="89"/>
      <c r="BB648" s="89"/>
      <c r="BC648" s="89"/>
      <c r="BD648" s="89"/>
      <c r="BE648" s="89"/>
      <c r="BF648" s="89"/>
    </row>
    <row r="649" spans="1:58" s="14" customFormat="1" ht="14.1" customHeight="1">
      <c r="A649" s="412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  <c r="AV649" s="89"/>
      <c r="AW649" s="89"/>
      <c r="AX649" s="89"/>
      <c r="AY649" s="89"/>
      <c r="AZ649" s="89"/>
      <c r="BA649" s="89"/>
      <c r="BB649" s="89"/>
      <c r="BC649" s="89"/>
      <c r="BD649" s="89"/>
      <c r="BE649" s="89"/>
      <c r="BF649" s="89"/>
    </row>
    <row r="650" spans="1:58" s="14" customFormat="1" ht="14.1" customHeight="1">
      <c r="A650" s="412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  <c r="AV650" s="89"/>
      <c r="AW650" s="89"/>
      <c r="AX650" s="89"/>
      <c r="AY650" s="89"/>
      <c r="AZ650" s="89"/>
      <c r="BA650" s="89"/>
      <c r="BB650" s="89"/>
      <c r="BC650" s="89"/>
      <c r="BD650" s="89"/>
      <c r="BE650" s="89"/>
      <c r="BF650" s="89"/>
    </row>
    <row r="651" spans="1:58" s="14" customFormat="1" ht="14.1" customHeight="1">
      <c r="A651" s="412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  <c r="AV651" s="89"/>
      <c r="AW651" s="89"/>
      <c r="AX651" s="89"/>
      <c r="AY651" s="89"/>
      <c r="AZ651" s="89"/>
      <c r="BA651" s="89"/>
      <c r="BB651" s="89"/>
      <c r="BC651" s="89"/>
      <c r="BD651" s="89"/>
      <c r="BE651" s="89"/>
      <c r="BF651" s="89"/>
    </row>
    <row r="652" spans="1:58" s="14" customFormat="1" ht="14.1" customHeight="1">
      <c r="A652" s="412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  <c r="AV652" s="89"/>
      <c r="AW652" s="89"/>
      <c r="AX652" s="89"/>
      <c r="AY652" s="89"/>
      <c r="AZ652" s="89"/>
      <c r="BA652" s="89"/>
      <c r="BB652" s="89"/>
      <c r="BC652" s="89"/>
      <c r="BD652" s="89"/>
      <c r="BE652" s="89"/>
      <c r="BF652" s="89"/>
    </row>
    <row r="653" spans="1:58" s="14" customFormat="1" ht="14.1" customHeight="1">
      <c r="A653" s="412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  <c r="AV653" s="89"/>
      <c r="AW653" s="89"/>
      <c r="AX653" s="89"/>
      <c r="AY653" s="89"/>
      <c r="AZ653" s="89"/>
      <c r="BA653" s="89"/>
      <c r="BB653" s="89"/>
      <c r="BC653" s="89"/>
      <c r="BD653" s="89"/>
      <c r="BE653" s="89"/>
      <c r="BF653" s="89"/>
    </row>
    <row r="654" spans="1:58" s="14" customFormat="1" ht="14.1" customHeight="1">
      <c r="A654" s="412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  <c r="AV654" s="89"/>
      <c r="AW654" s="89"/>
      <c r="AX654" s="89"/>
      <c r="AY654" s="89"/>
      <c r="AZ654" s="89"/>
      <c r="BA654" s="89"/>
      <c r="BB654" s="89"/>
      <c r="BC654" s="89"/>
      <c r="BD654" s="89"/>
      <c r="BE654" s="89"/>
      <c r="BF654" s="89"/>
    </row>
    <row r="655" spans="1:58" s="14" customFormat="1" ht="14.1" customHeight="1">
      <c r="A655" s="412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  <c r="AV655" s="89"/>
      <c r="AW655" s="89"/>
      <c r="AX655" s="89"/>
      <c r="AY655" s="89"/>
      <c r="AZ655" s="89"/>
      <c r="BA655" s="89"/>
      <c r="BB655" s="89"/>
      <c r="BC655" s="89"/>
      <c r="BD655" s="89"/>
      <c r="BE655" s="89"/>
      <c r="BF655" s="89"/>
    </row>
    <row r="656" spans="1:58" s="14" customFormat="1" ht="14.1" customHeight="1">
      <c r="A656" s="412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  <c r="AV656" s="89"/>
      <c r="AW656" s="89"/>
      <c r="AX656" s="89"/>
      <c r="AY656" s="89"/>
      <c r="AZ656" s="89"/>
      <c r="BA656" s="89"/>
      <c r="BB656" s="89"/>
      <c r="BC656" s="89"/>
      <c r="BD656" s="89"/>
      <c r="BE656" s="89"/>
      <c r="BF656" s="89"/>
    </row>
    <row r="657" spans="1:58" s="14" customFormat="1" ht="14.1" customHeight="1">
      <c r="A657" s="412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  <c r="AV657" s="89"/>
      <c r="AW657" s="89"/>
      <c r="AX657" s="89"/>
      <c r="AY657" s="89"/>
      <c r="AZ657" s="89"/>
      <c r="BA657" s="89"/>
      <c r="BB657" s="89"/>
      <c r="BC657" s="89"/>
      <c r="BD657" s="89"/>
      <c r="BE657" s="89"/>
      <c r="BF657" s="89"/>
    </row>
    <row r="658" spans="1:58" s="14" customFormat="1" ht="14.1" customHeight="1">
      <c r="A658" s="412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  <c r="AV658" s="89"/>
      <c r="AW658" s="89"/>
      <c r="AX658" s="89"/>
      <c r="AY658" s="89"/>
      <c r="AZ658" s="89"/>
      <c r="BA658" s="89"/>
      <c r="BB658" s="89"/>
      <c r="BC658" s="89"/>
      <c r="BD658" s="89"/>
      <c r="BE658" s="89"/>
      <c r="BF658" s="89"/>
    </row>
    <row r="659" spans="1:58" s="14" customFormat="1" ht="14.1" customHeight="1">
      <c r="A659" s="412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  <c r="AV659" s="89"/>
      <c r="AW659" s="89"/>
      <c r="AX659" s="89"/>
      <c r="AY659" s="89"/>
      <c r="AZ659" s="89"/>
      <c r="BA659" s="89"/>
      <c r="BB659" s="89"/>
      <c r="BC659" s="89"/>
      <c r="BD659" s="89"/>
      <c r="BE659" s="89"/>
      <c r="BF659" s="89"/>
    </row>
    <row r="660" spans="1:58" s="14" customFormat="1" ht="14.1" customHeight="1">
      <c r="A660" s="412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  <c r="AV660" s="89"/>
      <c r="AW660" s="89"/>
      <c r="AX660" s="89"/>
      <c r="AY660" s="89"/>
      <c r="AZ660" s="89"/>
      <c r="BA660" s="89"/>
      <c r="BB660" s="89"/>
      <c r="BC660" s="89"/>
      <c r="BD660" s="89"/>
      <c r="BE660" s="89"/>
      <c r="BF660" s="89"/>
    </row>
    <row r="661" spans="1:58" s="14" customFormat="1" ht="14.1" customHeight="1">
      <c r="A661" s="412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  <c r="AV661" s="89"/>
      <c r="AW661" s="89"/>
      <c r="AX661" s="89"/>
      <c r="AY661" s="89"/>
      <c r="AZ661" s="89"/>
      <c r="BA661" s="89"/>
      <c r="BB661" s="89"/>
      <c r="BC661" s="89"/>
      <c r="BD661" s="89"/>
      <c r="BE661" s="89"/>
      <c r="BF661" s="89"/>
    </row>
    <row r="662" spans="1:58" s="14" customFormat="1" ht="14.1" customHeight="1">
      <c r="A662" s="412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  <c r="AV662" s="89"/>
      <c r="AW662" s="89"/>
      <c r="AX662" s="89"/>
      <c r="AY662" s="89"/>
      <c r="AZ662" s="89"/>
      <c r="BA662" s="89"/>
      <c r="BB662" s="89"/>
      <c r="BC662" s="89"/>
      <c r="BD662" s="89"/>
      <c r="BE662" s="89"/>
      <c r="BF662" s="89"/>
    </row>
    <row r="663" spans="1:58" s="14" customFormat="1" ht="14.1" customHeight="1">
      <c r="A663" s="412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  <c r="AV663" s="89"/>
      <c r="AW663" s="89"/>
      <c r="AX663" s="89"/>
      <c r="AY663" s="89"/>
      <c r="AZ663" s="89"/>
      <c r="BA663" s="89"/>
      <c r="BB663" s="89"/>
      <c r="BC663" s="89"/>
      <c r="BD663" s="89"/>
      <c r="BE663" s="89"/>
      <c r="BF663" s="89"/>
    </row>
    <row r="664" spans="1:58" s="14" customFormat="1" ht="14.1" customHeight="1">
      <c r="A664" s="412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  <c r="AV664" s="89"/>
      <c r="AW664" s="89"/>
      <c r="AX664" s="89"/>
      <c r="AY664" s="89"/>
      <c r="AZ664" s="89"/>
      <c r="BA664" s="89"/>
      <c r="BB664" s="89"/>
      <c r="BC664" s="89"/>
      <c r="BD664" s="89"/>
      <c r="BE664" s="89"/>
      <c r="BF664" s="89"/>
    </row>
    <row r="665" spans="1:58" s="14" customFormat="1" ht="14.1" customHeight="1">
      <c r="A665" s="412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  <c r="AV665" s="89"/>
      <c r="AW665" s="89"/>
      <c r="AX665" s="89"/>
      <c r="AY665" s="89"/>
      <c r="AZ665" s="89"/>
      <c r="BA665" s="89"/>
      <c r="BB665" s="89"/>
      <c r="BC665" s="89"/>
      <c r="BD665" s="89"/>
      <c r="BE665" s="89"/>
      <c r="BF665" s="89"/>
    </row>
    <row r="666" spans="1:58" s="14" customFormat="1" ht="14.1" customHeight="1">
      <c r="A666" s="412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  <c r="AV666" s="89"/>
      <c r="AW666" s="89"/>
      <c r="AX666" s="89"/>
      <c r="AY666" s="89"/>
      <c r="AZ666" s="89"/>
      <c r="BA666" s="89"/>
      <c r="BB666" s="89"/>
      <c r="BC666" s="89"/>
      <c r="BD666" s="89"/>
      <c r="BE666" s="89"/>
      <c r="BF666" s="89"/>
    </row>
    <row r="667" spans="1:58" s="14" customFormat="1" ht="14.1" customHeight="1">
      <c r="A667" s="412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  <c r="AV667" s="89"/>
      <c r="AW667" s="89"/>
      <c r="AX667" s="89"/>
      <c r="AY667" s="89"/>
      <c r="AZ667" s="89"/>
      <c r="BA667" s="89"/>
      <c r="BB667" s="89"/>
      <c r="BC667" s="89"/>
      <c r="BD667" s="89"/>
      <c r="BE667" s="89"/>
      <c r="BF667" s="89"/>
    </row>
    <row r="668" spans="1:58" s="14" customFormat="1" ht="14.1" customHeight="1">
      <c r="A668" s="412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  <c r="AV668" s="89"/>
      <c r="AW668" s="89"/>
      <c r="AX668" s="89"/>
      <c r="AY668" s="89"/>
      <c r="AZ668" s="89"/>
      <c r="BA668" s="89"/>
      <c r="BB668" s="89"/>
      <c r="BC668" s="89"/>
      <c r="BD668" s="89"/>
      <c r="BE668" s="89"/>
      <c r="BF668" s="89"/>
    </row>
    <row r="669" spans="1:58" s="14" customFormat="1" ht="14.1" customHeight="1">
      <c r="A669" s="412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  <c r="AV669" s="89"/>
      <c r="AW669" s="89"/>
      <c r="AX669" s="89"/>
      <c r="AY669" s="89"/>
      <c r="AZ669" s="89"/>
      <c r="BA669" s="89"/>
      <c r="BB669" s="89"/>
      <c r="BC669" s="89"/>
      <c r="BD669" s="89"/>
      <c r="BE669" s="89"/>
      <c r="BF669" s="89"/>
    </row>
    <row r="670" spans="1:58" s="14" customFormat="1" ht="14.1" customHeight="1">
      <c r="A670" s="412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  <c r="AV670" s="89"/>
      <c r="AW670" s="89"/>
      <c r="AX670" s="89"/>
      <c r="AY670" s="89"/>
      <c r="AZ670" s="89"/>
      <c r="BA670" s="89"/>
      <c r="BB670" s="89"/>
      <c r="BC670" s="89"/>
      <c r="BD670" s="89"/>
      <c r="BE670" s="89"/>
      <c r="BF670" s="89"/>
    </row>
    <row r="671" spans="1:58" s="14" customFormat="1" ht="14.1" customHeight="1">
      <c r="A671" s="412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  <c r="AV671" s="89"/>
      <c r="AW671" s="89"/>
      <c r="AX671" s="89"/>
      <c r="AY671" s="89"/>
      <c r="AZ671" s="89"/>
      <c r="BA671" s="89"/>
      <c r="BB671" s="89"/>
      <c r="BC671" s="89"/>
      <c r="BD671" s="89"/>
      <c r="BE671" s="89"/>
      <c r="BF671" s="89"/>
    </row>
    <row r="672" spans="1:58" s="14" customFormat="1" ht="14.1" customHeight="1">
      <c r="A672" s="412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  <c r="AV672" s="89"/>
      <c r="AW672" s="89"/>
      <c r="AX672" s="89"/>
      <c r="AY672" s="89"/>
      <c r="AZ672" s="89"/>
      <c r="BA672" s="89"/>
      <c r="BB672" s="89"/>
      <c r="BC672" s="89"/>
      <c r="BD672" s="89"/>
      <c r="BE672" s="89"/>
      <c r="BF672" s="89"/>
    </row>
    <row r="673" spans="1:58" s="14" customFormat="1" ht="14.1" customHeight="1">
      <c r="A673" s="412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  <c r="AV673" s="89"/>
      <c r="AW673" s="89"/>
      <c r="AX673" s="89"/>
      <c r="AY673" s="89"/>
      <c r="AZ673" s="89"/>
      <c r="BA673" s="89"/>
      <c r="BB673" s="89"/>
      <c r="BC673" s="89"/>
      <c r="BD673" s="89"/>
      <c r="BE673" s="89"/>
      <c r="BF673" s="89"/>
    </row>
    <row r="674" spans="1:58" s="14" customFormat="1" ht="14.1" customHeight="1">
      <c r="A674" s="412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  <c r="AV674" s="89"/>
      <c r="AW674" s="89"/>
      <c r="AX674" s="89"/>
      <c r="AY674" s="89"/>
      <c r="AZ674" s="89"/>
      <c r="BA674" s="89"/>
      <c r="BB674" s="89"/>
      <c r="BC674" s="89"/>
      <c r="BD674" s="89"/>
      <c r="BE674" s="89"/>
      <c r="BF674" s="89"/>
    </row>
    <row r="675" spans="1:58" s="14" customFormat="1" ht="14.1" customHeight="1">
      <c r="A675" s="412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  <c r="AV675" s="89"/>
      <c r="AW675" s="89"/>
      <c r="AX675" s="89"/>
      <c r="AY675" s="89"/>
      <c r="AZ675" s="89"/>
      <c r="BA675" s="89"/>
      <c r="BB675" s="89"/>
      <c r="BC675" s="89"/>
      <c r="BD675" s="89"/>
      <c r="BE675" s="89"/>
      <c r="BF675" s="89"/>
    </row>
    <row r="676" spans="1:58" s="14" customFormat="1" ht="14.1" customHeight="1">
      <c r="A676" s="412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  <c r="AV676" s="89"/>
      <c r="AW676" s="89"/>
      <c r="AX676" s="89"/>
      <c r="AY676" s="89"/>
      <c r="AZ676" s="89"/>
      <c r="BA676" s="89"/>
      <c r="BB676" s="89"/>
      <c r="BC676" s="89"/>
      <c r="BD676" s="89"/>
      <c r="BE676" s="89"/>
      <c r="BF676" s="89"/>
    </row>
    <row r="677" spans="1:58" s="14" customFormat="1" ht="14.1" customHeight="1">
      <c r="A677" s="412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  <c r="AV677" s="89"/>
      <c r="AW677" s="89"/>
      <c r="AX677" s="89"/>
      <c r="AY677" s="89"/>
      <c r="AZ677" s="89"/>
      <c r="BA677" s="89"/>
      <c r="BB677" s="89"/>
      <c r="BC677" s="89"/>
      <c r="BD677" s="89"/>
      <c r="BE677" s="89"/>
      <c r="BF677" s="89"/>
    </row>
    <row r="678" spans="1:58" s="14" customFormat="1" ht="14.1" customHeight="1">
      <c r="A678" s="412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  <c r="AA678" s="89"/>
      <c r="AB678" s="89"/>
      <c r="AC678" s="89"/>
      <c r="AD678" s="89"/>
      <c r="AE678" s="89"/>
      <c r="AF678" s="89"/>
      <c r="AG678" s="89"/>
      <c r="AH678" s="89"/>
      <c r="AI678" s="89"/>
      <c r="AJ678" s="89"/>
      <c r="AK678" s="89"/>
      <c r="AL678" s="89"/>
      <c r="AM678" s="89"/>
      <c r="AN678" s="89"/>
      <c r="AO678" s="89"/>
      <c r="AP678" s="89"/>
      <c r="AQ678" s="89"/>
      <c r="AR678" s="89"/>
      <c r="AS678" s="89"/>
      <c r="AT678" s="89"/>
      <c r="AU678" s="89"/>
      <c r="AV678" s="89"/>
      <c r="AW678" s="89"/>
      <c r="AX678" s="89"/>
      <c r="AY678" s="89"/>
      <c r="AZ678" s="89"/>
      <c r="BA678" s="89"/>
      <c r="BB678" s="89"/>
      <c r="BC678" s="89"/>
      <c r="BD678" s="89"/>
      <c r="BE678" s="89"/>
      <c r="BF678" s="89"/>
    </row>
    <row r="679" spans="1:58" s="14" customFormat="1" ht="14.1" customHeight="1">
      <c r="A679" s="412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  <c r="AA679" s="89"/>
      <c r="AB679" s="89"/>
      <c r="AC679" s="89"/>
      <c r="AD679" s="89"/>
      <c r="AE679" s="89"/>
      <c r="AF679" s="89"/>
      <c r="AG679" s="89"/>
      <c r="AH679" s="89"/>
      <c r="AI679" s="89"/>
      <c r="AJ679" s="89"/>
      <c r="AK679" s="89"/>
      <c r="AL679" s="89"/>
      <c r="AM679" s="89"/>
      <c r="AN679" s="89"/>
      <c r="AO679" s="89"/>
      <c r="AP679" s="89"/>
      <c r="AQ679" s="89"/>
      <c r="AR679" s="89"/>
      <c r="AS679" s="89"/>
      <c r="AT679" s="89"/>
      <c r="AU679" s="89"/>
      <c r="AV679" s="89"/>
      <c r="AW679" s="89"/>
      <c r="AX679" s="89"/>
      <c r="AY679" s="89"/>
      <c r="AZ679" s="89"/>
      <c r="BA679" s="89"/>
      <c r="BB679" s="89"/>
      <c r="BC679" s="89"/>
      <c r="BD679" s="89"/>
      <c r="BE679" s="89"/>
      <c r="BF679" s="89"/>
    </row>
    <row r="680" spans="1:58" s="14" customFormat="1" ht="14.1" customHeight="1">
      <c r="A680" s="412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  <c r="AA680" s="89"/>
      <c r="AB680" s="89"/>
      <c r="AC680" s="89"/>
      <c r="AD680" s="89"/>
      <c r="AE680" s="89"/>
      <c r="AF680" s="89"/>
      <c r="AG680" s="89"/>
      <c r="AH680" s="89"/>
      <c r="AI680" s="89"/>
      <c r="AJ680" s="89"/>
      <c r="AK680" s="89"/>
      <c r="AL680" s="89"/>
      <c r="AM680" s="89"/>
      <c r="AN680" s="89"/>
      <c r="AO680" s="89"/>
      <c r="AP680" s="89"/>
      <c r="AQ680" s="89"/>
      <c r="AR680" s="89"/>
      <c r="AS680" s="89"/>
      <c r="AT680" s="89"/>
      <c r="AU680" s="89"/>
      <c r="AV680" s="89"/>
      <c r="AW680" s="89"/>
      <c r="AX680" s="89"/>
      <c r="AY680" s="89"/>
      <c r="AZ680" s="89"/>
      <c r="BA680" s="89"/>
      <c r="BB680" s="89"/>
      <c r="BC680" s="89"/>
      <c r="BD680" s="89"/>
      <c r="BE680" s="89"/>
      <c r="BF680" s="89"/>
    </row>
    <row r="681" spans="1:58" s="14" customFormat="1" ht="14.1" customHeight="1">
      <c r="A681" s="412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  <c r="AA681" s="89"/>
      <c r="AB681" s="89"/>
      <c r="AC681" s="89"/>
      <c r="AD681" s="89"/>
      <c r="AE681" s="89"/>
      <c r="AF681" s="89"/>
      <c r="AG681" s="89"/>
      <c r="AH681" s="89"/>
      <c r="AI681" s="89"/>
      <c r="AJ681" s="89"/>
      <c r="AK681" s="89"/>
      <c r="AL681" s="89"/>
      <c r="AM681" s="89"/>
      <c r="AN681" s="89"/>
      <c r="AO681" s="89"/>
      <c r="AP681" s="89"/>
      <c r="AQ681" s="89"/>
      <c r="AR681" s="89"/>
      <c r="AS681" s="89"/>
      <c r="AT681" s="89"/>
      <c r="AU681" s="89"/>
      <c r="AV681" s="89"/>
      <c r="AW681" s="89"/>
      <c r="AX681" s="89"/>
      <c r="AY681" s="89"/>
      <c r="AZ681" s="89"/>
      <c r="BA681" s="89"/>
      <c r="BB681" s="89"/>
      <c r="BC681" s="89"/>
      <c r="BD681" s="89"/>
      <c r="BE681" s="89"/>
      <c r="BF681" s="89"/>
    </row>
    <row r="682" spans="1:58" s="14" customFormat="1" ht="14.1" customHeight="1">
      <c r="A682" s="412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  <c r="AA682" s="89"/>
      <c r="AB682" s="89"/>
      <c r="AC682" s="89"/>
      <c r="AD682" s="89"/>
      <c r="AE682" s="89"/>
      <c r="AF682" s="89"/>
      <c r="AG682" s="89"/>
      <c r="AH682" s="89"/>
      <c r="AI682" s="89"/>
      <c r="AJ682" s="89"/>
      <c r="AK682" s="89"/>
      <c r="AL682" s="89"/>
      <c r="AM682" s="89"/>
      <c r="AN682" s="89"/>
      <c r="AO682" s="89"/>
      <c r="AP682" s="89"/>
      <c r="AQ682" s="89"/>
      <c r="AR682" s="89"/>
      <c r="AS682" s="89"/>
      <c r="AT682" s="89"/>
      <c r="AU682" s="89"/>
      <c r="AV682" s="89"/>
      <c r="AW682" s="89"/>
      <c r="AX682" s="89"/>
      <c r="AY682" s="89"/>
      <c r="AZ682" s="89"/>
      <c r="BA682" s="89"/>
      <c r="BB682" s="89"/>
      <c r="BC682" s="89"/>
      <c r="BD682" s="89"/>
      <c r="BE682" s="89"/>
      <c r="BF682" s="89"/>
    </row>
    <row r="683" spans="1:58" s="14" customFormat="1" ht="14.1" customHeight="1">
      <c r="A683" s="412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  <c r="AA683" s="89"/>
      <c r="AB683" s="89"/>
      <c r="AC683" s="89"/>
      <c r="AD683" s="89"/>
      <c r="AE683" s="89"/>
      <c r="AF683" s="89"/>
      <c r="AG683" s="89"/>
      <c r="AH683" s="89"/>
      <c r="AI683" s="89"/>
      <c r="AJ683" s="89"/>
      <c r="AK683" s="89"/>
      <c r="AL683" s="89"/>
      <c r="AM683" s="89"/>
      <c r="AN683" s="89"/>
      <c r="AO683" s="89"/>
      <c r="AP683" s="89"/>
      <c r="AQ683" s="89"/>
      <c r="AR683" s="89"/>
      <c r="AS683" s="89"/>
      <c r="AT683" s="89"/>
      <c r="AU683" s="89"/>
      <c r="AV683" s="89"/>
      <c r="AW683" s="89"/>
      <c r="AX683" s="89"/>
      <c r="AY683" s="89"/>
      <c r="AZ683" s="89"/>
      <c r="BA683" s="89"/>
      <c r="BB683" s="89"/>
      <c r="BC683" s="89"/>
      <c r="BD683" s="89"/>
      <c r="BE683" s="89"/>
      <c r="BF683" s="89"/>
    </row>
    <row r="684" spans="1:58" s="14" customFormat="1" ht="14.1" customHeight="1">
      <c r="A684" s="412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  <c r="AA684" s="89"/>
      <c r="AB684" s="89"/>
      <c r="AC684" s="89"/>
      <c r="AD684" s="89"/>
      <c r="AE684" s="89"/>
      <c r="AF684" s="89"/>
      <c r="AG684" s="89"/>
      <c r="AH684" s="89"/>
      <c r="AI684" s="89"/>
      <c r="AJ684" s="89"/>
      <c r="AK684" s="89"/>
      <c r="AL684" s="89"/>
      <c r="AM684" s="89"/>
      <c r="AN684" s="89"/>
      <c r="AO684" s="89"/>
      <c r="AP684" s="89"/>
      <c r="AQ684" s="89"/>
      <c r="AR684" s="89"/>
      <c r="AS684" s="89"/>
      <c r="AT684" s="89"/>
      <c r="AU684" s="89"/>
      <c r="AV684" s="89"/>
      <c r="AW684" s="89"/>
      <c r="AX684" s="89"/>
      <c r="AY684" s="89"/>
      <c r="AZ684" s="89"/>
      <c r="BA684" s="89"/>
      <c r="BB684" s="89"/>
      <c r="BC684" s="89"/>
      <c r="BD684" s="89"/>
      <c r="BE684" s="89"/>
      <c r="BF684" s="89"/>
    </row>
    <row r="685" spans="1:58" s="14" customFormat="1" ht="14.1" customHeight="1">
      <c r="A685" s="412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  <c r="AA685" s="89"/>
      <c r="AB685" s="89"/>
      <c r="AC685" s="89"/>
      <c r="AD685" s="89"/>
      <c r="AE685" s="89"/>
      <c r="AF685" s="89"/>
      <c r="AG685" s="89"/>
      <c r="AH685" s="89"/>
      <c r="AI685" s="89"/>
      <c r="AJ685" s="89"/>
      <c r="AK685" s="89"/>
      <c r="AL685" s="89"/>
      <c r="AM685" s="89"/>
      <c r="AN685" s="89"/>
      <c r="AO685" s="89"/>
      <c r="AP685" s="89"/>
      <c r="AQ685" s="89"/>
      <c r="AR685" s="89"/>
      <c r="AS685" s="89"/>
      <c r="AT685" s="89"/>
      <c r="AU685" s="89"/>
      <c r="AV685" s="89"/>
      <c r="AW685" s="89"/>
      <c r="AX685" s="89"/>
      <c r="AY685" s="89"/>
      <c r="AZ685" s="89"/>
      <c r="BA685" s="89"/>
      <c r="BB685" s="89"/>
      <c r="BC685" s="89"/>
      <c r="BD685" s="89"/>
      <c r="BE685" s="89"/>
      <c r="BF685" s="89"/>
    </row>
    <row r="686" spans="1:58" s="14" customFormat="1" ht="14.1" customHeight="1">
      <c r="A686" s="412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  <c r="AA686" s="89"/>
      <c r="AB686" s="89"/>
      <c r="AC686" s="89"/>
      <c r="AD686" s="89"/>
      <c r="AE686" s="89"/>
      <c r="AF686" s="89"/>
      <c r="AG686" s="89"/>
      <c r="AH686" s="89"/>
      <c r="AI686" s="89"/>
      <c r="AJ686" s="89"/>
      <c r="AK686" s="89"/>
      <c r="AL686" s="89"/>
      <c r="AM686" s="89"/>
      <c r="AN686" s="89"/>
      <c r="AO686" s="89"/>
      <c r="AP686" s="89"/>
      <c r="AQ686" s="89"/>
      <c r="AR686" s="89"/>
      <c r="AS686" s="89"/>
      <c r="AT686" s="89"/>
      <c r="AU686" s="89"/>
      <c r="AV686" s="89"/>
      <c r="AW686" s="89"/>
      <c r="AX686" s="89"/>
      <c r="AY686" s="89"/>
      <c r="AZ686" s="89"/>
      <c r="BA686" s="89"/>
      <c r="BB686" s="89"/>
      <c r="BC686" s="89"/>
      <c r="BD686" s="89"/>
      <c r="BE686" s="89"/>
      <c r="BF686" s="89"/>
    </row>
    <row r="687" spans="1:58" s="14" customFormat="1" ht="14.1" customHeight="1">
      <c r="A687" s="412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  <c r="AA687" s="89"/>
      <c r="AB687" s="89"/>
      <c r="AC687" s="89"/>
      <c r="AD687" s="89"/>
      <c r="AE687" s="89"/>
      <c r="AF687" s="89"/>
      <c r="AG687" s="89"/>
      <c r="AH687" s="89"/>
      <c r="AI687" s="89"/>
      <c r="AJ687" s="89"/>
      <c r="AK687" s="89"/>
      <c r="AL687" s="89"/>
      <c r="AM687" s="89"/>
      <c r="AN687" s="89"/>
      <c r="AO687" s="89"/>
      <c r="AP687" s="89"/>
      <c r="AQ687" s="89"/>
      <c r="AR687" s="89"/>
      <c r="AS687" s="89"/>
      <c r="AT687" s="89"/>
      <c r="AU687" s="89"/>
      <c r="AV687" s="89"/>
      <c r="AW687" s="89"/>
      <c r="AX687" s="89"/>
      <c r="AY687" s="89"/>
      <c r="AZ687" s="89"/>
      <c r="BA687" s="89"/>
      <c r="BB687" s="89"/>
      <c r="BC687" s="89"/>
      <c r="BD687" s="89"/>
      <c r="BE687" s="89"/>
      <c r="BF687" s="89"/>
    </row>
    <row r="688" spans="1:58" s="14" customFormat="1" ht="14.1" customHeight="1">
      <c r="A688" s="412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  <c r="AA688" s="89"/>
      <c r="AB688" s="89"/>
      <c r="AC688" s="89"/>
      <c r="AD688" s="89"/>
      <c r="AE688" s="89"/>
      <c r="AF688" s="89"/>
      <c r="AG688" s="89"/>
      <c r="AH688" s="89"/>
      <c r="AI688" s="89"/>
      <c r="AJ688" s="89"/>
      <c r="AK688" s="89"/>
      <c r="AL688" s="89"/>
      <c r="AM688" s="89"/>
      <c r="AN688" s="89"/>
      <c r="AO688" s="89"/>
      <c r="AP688" s="89"/>
      <c r="AQ688" s="89"/>
      <c r="AR688" s="89"/>
      <c r="AS688" s="89"/>
      <c r="AT688" s="89"/>
      <c r="AU688" s="89"/>
      <c r="AV688" s="89"/>
      <c r="AW688" s="89"/>
      <c r="AX688" s="89"/>
      <c r="AY688" s="89"/>
      <c r="AZ688" s="89"/>
      <c r="BA688" s="89"/>
      <c r="BB688" s="89"/>
      <c r="BC688" s="89"/>
      <c r="BD688" s="89"/>
      <c r="BE688" s="89"/>
      <c r="BF688" s="89"/>
    </row>
    <row r="689" spans="1:58" s="14" customFormat="1" ht="14.1" customHeight="1">
      <c r="A689" s="412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  <c r="AA689" s="89"/>
      <c r="AB689" s="89"/>
      <c r="AC689" s="89"/>
      <c r="AD689" s="89"/>
      <c r="AE689" s="89"/>
      <c r="AF689" s="89"/>
      <c r="AG689" s="89"/>
      <c r="AH689" s="89"/>
      <c r="AI689" s="89"/>
      <c r="AJ689" s="89"/>
      <c r="AK689" s="89"/>
      <c r="AL689" s="89"/>
      <c r="AM689" s="89"/>
      <c r="AN689" s="89"/>
      <c r="AO689" s="89"/>
      <c r="AP689" s="89"/>
      <c r="AQ689" s="89"/>
      <c r="AR689" s="89"/>
      <c r="AS689" s="89"/>
      <c r="AT689" s="89"/>
      <c r="AU689" s="89"/>
      <c r="AV689" s="89"/>
      <c r="AW689" s="89"/>
      <c r="AX689" s="89"/>
      <c r="AY689" s="89"/>
      <c r="AZ689" s="89"/>
      <c r="BA689" s="89"/>
      <c r="BB689" s="89"/>
      <c r="BC689" s="89"/>
      <c r="BD689" s="89"/>
      <c r="BE689" s="89"/>
      <c r="BF689" s="89"/>
    </row>
    <row r="690" spans="1:58" s="14" customFormat="1" ht="14.1" customHeight="1">
      <c r="A690" s="412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  <c r="AA690" s="89"/>
      <c r="AB690" s="89"/>
      <c r="AC690" s="89"/>
      <c r="AD690" s="89"/>
      <c r="AE690" s="89"/>
      <c r="AF690" s="89"/>
      <c r="AG690" s="89"/>
      <c r="AH690" s="89"/>
      <c r="AI690" s="89"/>
      <c r="AJ690" s="89"/>
      <c r="AK690" s="89"/>
      <c r="AL690" s="89"/>
      <c r="AM690" s="89"/>
      <c r="AN690" s="89"/>
      <c r="AO690" s="89"/>
      <c r="AP690" s="89"/>
      <c r="AQ690" s="89"/>
      <c r="AR690" s="89"/>
      <c r="AS690" s="89"/>
      <c r="AT690" s="89"/>
      <c r="AU690" s="89"/>
      <c r="AV690" s="89"/>
      <c r="AW690" s="89"/>
      <c r="AX690" s="89"/>
      <c r="AY690" s="89"/>
      <c r="AZ690" s="89"/>
      <c r="BA690" s="89"/>
      <c r="BB690" s="89"/>
      <c r="BC690" s="89"/>
      <c r="BD690" s="89"/>
      <c r="BE690" s="89"/>
      <c r="BF690" s="89"/>
    </row>
    <row r="691" spans="1:58" s="14" customFormat="1" ht="14.1" customHeight="1">
      <c r="A691" s="412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  <c r="AA691" s="89"/>
      <c r="AB691" s="89"/>
      <c r="AC691" s="89"/>
      <c r="AD691" s="89"/>
      <c r="AE691" s="89"/>
      <c r="AF691" s="89"/>
      <c r="AG691" s="89"/>
      <c r="AH691" s="89"/>
      <c r="AI691" s="89"/>
      <c r="AJ691" s="89"/>
      <c r="AK691" s="89"/>
      <c r="AL691" s="89"/>
      <c r="AM691" s="89"/>
      <c r="AN691" s="89"/>
      <c r="AO691" s="89"/>
      <c r="AP691" s="89"/>
      <c r="AQ691" s="89"/>
      <c r="AR691" s="89"/>
      <c r="AS691" s="89"/>
      <c r="AT691" s="89"/>
      <c r="AU691" s="89"/>
      <c r="AV691" s="89"/>
      <c r="AW691" s="89"/>
      <c r="AX691" s="89"/>
      <c r="AY691" s="89"/>
      <c r="AZ691" s="89"/>
      <c r="BA691" s="89"/>
      <c r="BB691" s="89"/>
      <c r="BC691" s="89"/>
      <c r="BD691" s="89"/>
      <c r="BE691" s="89"/>
      <c r="BF691" s="89"/>
    </row>
    <row r="692" spans="1:58" s="14" customFormat="1" ht="14.1" customHeight="1">
      <c r="A692" s="412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  <c r="AA692" s="89"/>
      <c r="AB692" s="89"/>
      <c r="AC692" s="89"/>
      <c r="AD692" s="89"/>
      <c r="AE692" s="89"/>
      <c r="AF692" s="89"/>
      <c r="AG692" s="89"/>
      <c r="AH692" s="89"/>
      <c r="AI692" s="89"/>
      <c r="AJ692" s="89"/>
      <c r="AK692" s="89"/>
      <c r="AL692" s="89"/>
      <c r="AM692" s="89"/>
      <c r="AN692" s="89"/>
      <c r="AO692" s="89"/>
      <c r="AP692" s="89"/>
      <c r="AQ692" s="89"/>
      <c r="AR692" s="89"/>
      <c r="AS692" s="89"/>
      <c r="AT692" s="89"/>
      <c r="AU692" s="89"/>
      <c r="AV692" s="89"/>
      <c r="AW692" s="89"/>
      <c r="AX692" s="89"/>
      <c r="AY692" s="89"/>
      <c r="AZ692" s="89"/>
      <c r="BA692" s="89"/>
      <c r="BB692" s="89"/>
      <c r="BC692" s="89"/>
      <c r="BD692" s="89"/>
      <c r="BE692" s="89"/>
      <c r="BF692" s="89"/>
    </row>
    <row r="693" spans="1:58" s="14" customFormat="1" ht="14.1" customHeight="1">
      <c r="A693" s="412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  <c r="AA693" s="89"/>
      <c r="AB693" s="89"/>
      <c r="AC693" s="89"/>
      <c r="AD693" s="89"/>
      <c r="AE693" s="89"/>
      <c r="AF693" s="89"/>
      <c r="AG693" s="89"/>
      <c r="AH693" s="89"/>
      <c r="AI693" s="89"/>
      <c r="AJ693" s="89"/>
      <c r="AK693" s="89"/>
      <c r="AL693" s="89"/>
      <c r="AM693" s="89"/>
      <c r="AN693" s="89"/>
      <c r="AO693" s="89"/>
      <c r="AP693" s="89"/>
      <c r="AQ693" s="89"/>
      <c r="AR693" s="89"/>
      <c r="AS693" s="89"/>
      <c r="AT693" s="89"/>
      <c r="AU693" s="89"/>
      <c r="AV693" s="89"/>
      <c r="AW693" s="89"/>
      <c r="AX693" s="89"/>
      <c r="AY693" s="89"/>
      <c r="AZ693" s="89"/>
      <c r="BA693" s="89"/>
      <c r="BB693" s="89"/>
      <c r="BC693" s="89"/>
      <c r="BD693" s="89"/>
      <c r="BE693" s="89"/>
      <c r="BF693" s="89"/>
    </row>
    <row r="694" spans="1:58" s="14" customFormat="1" ht="14.1" customHeight="1">
      <c r="A694" s="412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  <c r="AA694" s="89"/>
      <c r="AB694" s="89"/>
      <c r="AC694" s="89"/>
      <c r="AD694" s="89"/>
      <c r="AE694" s="89"/>
      <c r="AF694" s="89"/>
      <c r="AG694" s="89"/>
      <c r="AH694" s="89"/>
      <c r="AI694" s="89"/>
      <c r="AJ694" s="89"/>
      <c r="AK694" s="89"/>
      <c r="AL694" s="89"/>
      <c r="AM694" s="89"/>
      <c r="AN694" s="89"/>
      <c r="AO694" s="89"/>
      <c r="AP694" s="89"/>
      <c r="AQ694" s="89"/>
      <c r="AR694" s="89"/>
      <c r="AS694" s="89"/>
      <c r="AT694" s="89"/>
      <c r="AU694" s="89"/>
      <c r="AV694" s="89"/>
      <c r="AW694" s="89"/>
      <c r="AX694" s="89"/>
      <c r="AY694" s="89"/>
      <c r="AZ694" s="89"/>
      <c r="BA694" s="89"/>
      <c r="BB694" s="89"/>
      <c r="BC694" s="89"/>
      <c r="BD694" s="89"/>
      <c r="BE694" s="89"/>
      <c r="BF694" s="89"/>
    </row>
    <row r="695" spans="1:58" s="14" customFormat="1" ht="14.1" customHeight="1">
      <c r="A695" s="412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  <c r="AA695" s="89"/>
      <c r="AB695" s="89"/>
      <c r="AC695" s="89"/>
      <c r="AD695" s="89"/>
      <c r="AE695" s="89"/>
      <c r="AF695" s="89"/>
      <c r="AG695" s="89"/>
      <c r="AH695" s="89"/>
      <c r="AI695" s="89"/>
      <c r="AJ695" s="89"/>
      <c r="AK695" s="89"/>
      <c r="AL695" s="89"/>
      <c r="AM695" s="89"/>
      <c r="AN695" s="89"/>
      <c r="AO695" s="89"/>
      <c r="AP695" s="89"/>
      <c r="AQ695" s="89"/>
      <c r="AR695" s="89"/>
      <c r="AS695" s="89"/>
      <c r="AT695" s="89"/>
      <c r="AU695" s="89"/>
      <c r="AV695" s="89"/>
      <c r="AW695" s="89"/>
      <c r="AX695" s="89"/>
      <c r="AY695" s="89"/>
      <c r="AZ695" s="89"/>
      <c r="BA695" s="89"/>
      <c r="BB695" s="89"/>
      <c r="BC695" s="89"/>
      <c r="BD695" s="89"/>
      <c r="BE695" s="89"/>
      <c r="BF695" s="89"/>
    </row>
    <row r="696" spans="1:58" s="14" customFormat="1" ht="14.1" customHeight="1">
      <c r="A696" s="412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  <c r="AA696" s="89"/>
      <c r="AB696" s="89"/>
      <c r="AC696" s="89"/>
      <c r="AD696" s="89"/>
      <c r="AE696" s="89"/>
      <c r="AF696" s="89"/>
      <c r="AG696" s="89"/>
      <c r="AH696" s="89"/>
      <c r="AI696" s="89"/>
      <c r="AJ696" s="89"/>
      <c r="AK696" s="89"/>
      <c r="AL696" s="89"/>
      <c r="AM696" s="89"/>
      <c r="AN696" s="89"/>
      <c r="AO696" s="89"/>
      <c r="AP696" s="89"/>
      <c r="AQ696" s="89"/>
      <c r="AR696" s="89"/>
      <c r="AS696" s="89"/>
      <c r="AT696" s="89"/>
      <c r="AU696" s="89"/>
      <c r="AV696" s="89"/>
      <c r="AW696" s="89"/>
      <c r="AX696" s="89"/>
      <c r="AY696" s="89"/>
      <c r="AZ696" s="89"/>
      <c r="BA696" s="89"/>
      <c r="BB696" s="89"/>
      <c r="BC696" s="89"/>
      <c r="BD696" s="89"/>
      <c r="BE696" s="89"/>
      <c r="BF696" s="89"/>
    </row>
    <row r="697" spans="1:58" s="14" customFormat="1" ht="14.1" customHeight="1">
      <c r="A697" s="412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  <c r="AA697" s="89"/>
      <c r="AB697" s="89"/>
      <c r="AC697" s="89"/>
      <c r="AD697" s="89"/>
      <c r="AE697" s="89"/>
      <c r="AF697" s="89"/>
      <c r="AG697" s="89"/>
      <c r="AH697" s="89"/>
      <c r="AI697" s="89"/>
      <c r="AJ697" s="89"/>
      <c r="AK697" s="89"/>
      <c r="AL697" s="89"/>
      <c r="AM697" s="89"/>
      <c r="AN697" s="89"/>
      <c r="AO697" s="89"/>
      <c r="AP697" s="89"/>
      <c r="AQ697" s="89"/>
      <c r="AR697" s="89"/>
      <c r="AS697" s="89"/>
      <c r="AT697" s="89"/>
      <c r="AU697" s="89"/>
      <c r="AV697" s="89"/>
      <c r="AW697" s="89"/>
      <c r="AX697" s="89"/>
      <c r="AY697" s="89"/>
      <c r="AZ697" s="89"/>
      <c r="BA697" s="89"/>
      <c r="BB697" s="89"/>
      <c r="BC697" s="89"/>
      <c r="BD697" s="89"/>
      <c r="BE697" s="89"/>
      <c r="BF697" s="89"/>
    </row>
    <row r="698" spans="1:58" s="14" customFormat="1" ht="14.1" customHeight="1">
      <c r="A698" s="412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  <c r="AA698" s="89"/>
      <c r="AB698" s="89"/>
      <c r="AC698" s="89"/>
      <c r="AD698" s="89"/>
      <c r="AE698" s="89"/>
      <c r="AF698" s="89"/>
      <c r="AG698" s="89"/>
      <c r="AH698" s="89"/>
      <c r="AI698" s="89"/>
      <c r="AJ698" s="89"/>
      <c r="AK698" s="89"/>
      <c r="AL698" s="89"/>
      <c r="AM698" s="89"/>
      <c r="AN698" s="89"/>
      <c r="AO698" s="89"/>
      <c r="AP698" s="89"/>
      <c r="AQ698" s="89"/>
      <c r="AR698" s="89"/>
      <c r="AS698" s="89"/>
      <c r="AT698" s="89"/>
      <c r="AU698" s="89"/>
      <c r="AV698" s="89"/>
      <c r="AW698" s="89"/>
      <c r="AX698" s="89"/>
      <c r="AY698" s="89"/>
      <c r="AZ698" s="89"/>
      <c r="BA698" s="89"/>
      <c r="BB698" s="89"/>
      <c r="BC698" s="89"/>
      <c r="BD698" s="89"/>
      <c r="BE698" s="89"/>
      <c r="BF698" s="89"/>
    </row>
    <row r="699" spans="1:58" s="14" customFormat="1" ht="14.1" customHeight="1">
      <c r="A699" s="412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  <c r="AA699" s="89"/>
      <c r="AB699" s="89"/>
      <c r="AC699" s="89"/>
      <c r="AD699" s="89"/>
      <c r="AE699" s="89"/>
      <c r="AF699" s="89"/>
      <c r="AG699" s="89"/>
      <c r="AH699" s="89"/>
      <c r="AI699" s="89"/>
      <c r="AJ699" s="89"/>
      <c r="AK699" s="89"/>
      <c r="AL699" s="89"/>
      <c r="AM699" s="89"/>
      <c r="AN699" s="89"/>
      <c r="AO699" s="89"/>
      <c r="AP699" s="89"/>
      <c r="AQ699" s="89"/>
      <c r="AR699" s="89"/>
      <c r="AS699" s="89"/>
      <c r="AT699" s="89"/>
      <c r="AU699" s="89"/>
      <c r="AV699" s="89"/>
      <c r="AW699" s="89"/>
      <c r="AX699" s="89"/>
      <c r="AY699" s="89"/>
      <c r="AZ699" s="89"/>
      <c r="BA699" s="89"/>
      <c r="BB699" s="89"/>
      <c r="BC699" s="89"/>
      <c r="BD699" s="89"/>
      <c r="BE699" s="89"/>
      <c r="BF699" s="89"/>
    </row>
    <row r="700" spans="1:58" s="14" customFormat="1" ht="14.1" customHeight="1">
      <c r="A700" s="412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  <c r="AA700" s="89"/>
      <c r="AB700" s="89"/>
      <c r="AC700" s="89"/>
      <c r="AD700" s="89"/>
      <c r="AE700" s="89"/>
      <c r="AF700" s="89"/>
      <c r="AG700" s="89"/>
      <c r="AH700" s="89"/>
      <c r="AI700" s="89"/>
      <c r="AJ700" s="89"/>
      <c r="AK700" s="89"/>
      <c r="AL700" s="89"/>
      <c r="AM700" s="89"/>
      <c r="AN700" s="89"/>
      <c r="AO700" s="89"/>
      <c r="AP700" s="89"/>
      <c r="AQ700" s="89"/>
      <c r="AR700" s="89"/>
      <c r="AS700" s="89"/>
      <c r="AT700" s="89"/>
      <c r="AU700" s="89"/>
      <c r="AV700" s="89"/>
      <c r="AW700" s="89"/>
      <c r="AX700" s="89"/>
      <c r="AY700" s="89"/>
      <c r="AZ700" s="89"/>
      <c r="BA700" s="89"/>
      <c r="BB700" s="89"/>
      <c r="BC700" s="89"/>
      <c r="BD700" s="89"/>
      <c r="BE700" s="89"/>
      <c r="BF700" s="89"/>
    </row>
    <row r="701" spans="1:58" s="14" customFormat="1" ht="14.1" customHeight="1">
      <c r="A701" s="412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  <c r="AA701" s="89"/>
      <c r="AB701" s="89"/>
      <c r="AC701" s="89"/>
      <c r="AD701" s="89"/>
      <c r="AE701" s="89"/>
      <c r="AF701" s="89"/>
      <c r="AG701" s="89"/>
      <c r="AH701" s="89"/>
      <c r="AI701" s="89"/>
      <c r="AJ701" s="89"/>
      <c r="AK701" s="89"/>
      <c r="AL701" s="89"/>
      <c r="AM701" s="89"/>
      <c r="AN701" s="89"/>
      <c r="AO701" s="89"/>
      <c r="AP701" s="89"/>
      <c r="AQ701" s="89"/>
      <c r="AR701" s="89"/>
      <c r="AS701" s="89"/>
      <c r="AT701" s="89"/>
      <c r="AU701" s="89"/>
      <c r="AV701" s="89"/>
      <c r="AW701" s="89"/>
      <c r="AX701" s="89"/>
      <c r="AY701" s="89"/>
      <c r="AZ701" s="89"/>
      <c r="BA701" s="89"/>
      <c r="BB701" s="89"/>
      <c r="BC701" s="89"/>
      <c r="BD701" s="89"/>
      <c r="BE701" s="89"/>
      <c r="BF701" s="89"/>
    </row>
    <row r="702" spans="1:58" s="14" customFormat="1" ht="14.1" customHeight="1">
      <c r="A702" s="412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  <c r="AA702" s="89"/>
      <c r="AB702" s="89"/>
      <c r="AC702" s="89"/>
      <c r="AD702" s="89"/>
      <c r="AE702" s="89"/>
      <c r="AF702" s="89"/>
      <c r="AG702" s="89"/>
      <c r="AH702" s="89"/>
      <c r="AI702" s="89"/>
      <c r="AJ702" s="89"/>
      <c r="AK702" s="89"/>
      <c r="AL702" s="89"/>
      <c r="AM702" s="89"/>
      <c r="AN702" s="89"/>
      <c r="AO702" s="89"/>
      <c r="AP702" s="89"/>
      <c r="AQ702" s="89"/>
      <c r="AR702" s="89"/>
      <c r="AS702" s="89"/>
      <c r="AT702" s="89"/>
      <c r="AU702" s="89"/>
      <c r="AV702" s="89"/>
      <c r="AW702" s="89"/>
      <c r="AX702" s="89"/>
      <c r="AY702" s="89"/>
      <c r="AZ702" s="89"/>
      <c r="BA702" s="89"/>
      <c r="BB702" s="89"/>
      <c r="BC702" s="89"/>
      <c r="BD702" s="89"/>
      <c r="BE702" s="89"/>
      <c r="BF702" s="89"/>
    </row>
    <row r="703" spans="1:58" s="14" customFormat="1" ht="14.1" customHeight="1">
      <c r="A703" s="412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  <c r="AA703" s="89"/>
      <c r="AB703" s="89"/>
      <c r="AC703" s="89"/>
      <c r="AD703" s="89"/>
      <c r="AE703" s="89"/>
      <c r="AF703" s="89"/>
      <c r="AG703" s="89"/>
      <c r="AH703" s="89"/>
      <c r="AI703" s="89"/>
      <c r="AJ703" s="89"/>
      <c r="AK703" s="89"/>
      <c r="AL703" s="89"/>
      <c r="AM703" s="89"/>
      <c r="AN703" s="89"/>
      <c r="AO703" s="89"/>
      <c r="AP703" s="89"/>
      <c r="AQ703" s="89"/>
      <c r="AR703" s="89"/>
      <c r="AS703" s="89"/>
      <c r="AT703" s="89"/>
      <c r="AU703" s="89"/>
      <c r="AV703" s="89"/>
      <c r="AW703" s="89"/>
      <c r="AX703" s="89"/>
      <c r="AY703" s="89"/>
      <c r="AZ703" s="89"/>
      <c r="BA703" s="89"/>
      <c r="BB703" s="89"/>
      <c r="BC703" s="89"/>
      <c r="BD703" s="89"/>
      <c r="BE703" s="89"/>
      <c r="BF703" s="89"/>
    </row>
    <row r="704" spans="1:58" s="14" customFormat="1" ht="14.1" customHeight="1">
      <c r="A704" s="412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  <c r="AA704" s="89"/>
      <c r="AB704" s="89"/>
      <c r="AC704" s="89"/>
      <c r="AD704" s="89"/>
      <c r="AE704" s="89"/>
      <c r="AF704" s="89"/>
      <c r="AG704" s="89"/>
      <c r="AH704" s="89"/>
      <c r="AI704" s="89"/>
      <c r="AJ704" s="89"/>
      <c r="AK704" s="89"/>
      <c r="AL704" s="89"/>
      <c r="AM704" s="89"/>
      <c r="AN704" s="89"/>
      <c r="AO704" s="89"/>
      <c r="AP704" s="89"/>
      <c r="AQ704" s="89"/>
      <c r="AR704" s="89"/>
      <c r="AS704" s="89"/>
      <c r="AT704" s="89"/>
      <c r="AU704" s="89"/>
      <c r="AV704" s="89"/>
      <c r="AW704" s="89"/>
      <c r="AX704" s="89"/>
      <c r="AY704" s="89"/>
      <c r="AZ704" s="89"/>
      <c r="BA704" s="89"/>
      <c r="BB704" s="89"/>
      <c r="BC704" s="89"/>
      <c r="BD704" s="89"/>
      <c r="BE704" s="89"/>
      <c r="BF704" s="89"/>
    </row>
    <row r="705" spans="1:58" s="14" customFormat="1" ht="14.1" customHeight="1">
      <c r="A705" s="412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  <c r="AA705" s="89"/>
      <c r="AB705" s="89"/>
      <c r="AC705" s="89"/>
      <c r="AD705" s="89"/>
      <c r="AE705" s="89"/>
      <c r="AF705" s="89"/>
      <c r="AG705" s="89"/>
      <c r="AH705" s="89"/>
      <c r="AI705" s="89"/>
      <c r="AJ705" s="89"/>
      <c r="AK705" s="89"/>
      <c r="AL705" s="89"/>
      <c r="AM705" s="89"/>
      <c r="AN705" s="89"/>
      <c r="AO705" s="89"/>
      <c r="AP705" s="89"/>
      <c r="AQ705" s="89"/>
      <c r="AR705" s="89"/>
      <c r="AS705" s="89"/>
      <c r="AT705" s="89"/>
      <c r="AU705" s="89"/>
      <c r="AV705" s="89"/>
      <c r="AW705" s="89"/>
      <c r="AX705" s="89"/>
      <c r="AY705" s="89"/>
      <c r="AZ705" s="89"/>
      <c r="BA705" s="89"/>
      <c r="BB705" s="89"/>
      <c r="BC705" s="89"/>
      <c r="BD705" s="89"/>
      <c r="BE705" s="89"/>
      <c r="BF705" s="89"/>
    </row>
    <row r="706" spans="1:58" s="14" customFormat="1" ht="14.1" customHeight="1">
      <c r="A706" s="412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  <c r="AA706" s="89"/>
      <c r="AB706" s="89"/>
      <c r="AC706" s="89"/>
      <c r="AD706" s="89"/>
      <c r="AE706" s="89"/>
      <c r="AF706" s="89"/>
      <c r="AG706" s="89"/>
      <c r="AH706" s="89"/>
      <c r="AI706" s="89"/>
      <c r="AJ706" s="89"/>
      <c r="AK706" s="89"/>
      <c r="AL706" s="89"/>
      <c r="AM706" s="89"/>
      <c r="AN706" s="89"/>
      <c r="AO706" s="89"/>
      <c r="AP706" s="89"/>
      <c r="AQ706" s="89"/>
      <c r="AR706" s="89"/>
      <c r="AS706" s="89"/>
      <c r="AT706" s="89"/>
      <c r="AU706" s="89"/>
      <c r="AV706" s="89"/>
      <c r="AW706" s="89"/>
      <c r="AX706" s="89"/>
      <c r="AY706" s="89"/>
      <c r="AZ706" s="89"/>
      <c r="BA706" s="89"/>
      <c r="BB706" s="89"/>
      <c r="BC706" s="89"/>
      <c r="BD706" s="89"/>
      <c r="BE706" s="89"/>
      <c r="BF706" s="89"/>
    </row>
    <row r="707" spans="1:58" s="14" customFormat="1" ht="14.1" customHeight="1">
      <c r="A707" s="412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  <c r="AA707" s="89"/>
      <c r="AB707" s="89"/>
      <c r="AC707" s="89"/>
      <c r="AD707" s="89"/>
      <c r="AE707" s="89"/>
      <c r="AF707" s="89"/>
      <c r="AG707" s="89"/>
      <c r="AH707" s="89"/>
      <c r="AI707" s="89"/>
      <c r="AJ707" s="89"/>
      <c r="AK707" s="89"/>
      <c r="AL707" s="89"/>
      <c r="AM707" s="89"/>
      <c r="AN707" s="89"/>
      <c r="AO707" s="89"/>
      <c r="AP707" s="89"/>
      <c r="AQ707" s="89"/>
      <c r="AR707" s="89"/>
      <c r="AS707" s="89"/>
      <c r="AT707" s="89"/>
      <c r="AU707" s="89"/>
      <c r="AV707" s="89"/>
      <c r="AW707" s="89"/>
      <c r="AX707" s="89"/>
      <c r="AY707" s="89"/>
      <c r="AZ707" s="89"/>
      <c r="BA707" s="89"/>
      <c r="BB707" s="89"/>
      <c r="BC707" s="89"/>
      <c r="BD707" s="89"/>
      <c r="BE707" s="89"/>
      <c r="BF707" s="89"/>
    </row>
    <row r="708" spans="1:58" s="14" customFormat="1" ht="14.1" customHeight="1">
      <c r="A708" s="412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  <c r="AA708" s="89"/>
      <c r="AB708" s="89"/>
      <c r="AC708" s="89"/>
      <c r="AD708" s="89"/>
      <c r="AE708" s="89"/>
      <c r="AF708" s="89"/>
      <c r="AG708" s="89"/>
      <c r="AH708" s="89"/>
      <c r="AI708" s="89"/>
      <c r="AJ708" s="89"/>
      <c r="AK708" s="89"/>
      <c r="AL708" s="89"/>
      <c r="AM708" s="89"/>
      <c r="AN708" s="89"/>
      <c r="AO708" s="89"/>
      <c r="AP708" s="89"/>
      <c r="AQ708" s="89"/>
      <c r="AR708" s="89"/>
      <c r="AS708" s="89"/>
      <c r="AT708" s="89"/>
      <c r="AU708" s="89"/>
      <c r="AV708" s="89"/>
      <c r="AW708" s="89"/>
      <c r="AX708" s="89"/>
      <c r="AY708" s="89"/>
      <c r="AZ708" s="89"/>
      <c r="BA708" s="89"/>
      <c r="BB708" s="89"/>
      <c r="BC708" s="89"/>
      <c r="BD708" s="89"/>
      <c r="BE708" s="89"/>
      <c r="BF708" s="89"/>
    </row>
    <row r="709" spans="1:58" s="14" customFormat="1" ht="14.1" customHeight="1">
      <c r="A709" s="412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  <c r="AA709" s="89"/>
      <c r="AB709" s="89"/>
      <c r="AC709" s="89"/>
      <c r="AD709" s="89"/>
      <c r="AE709" s="89"/>
      <c r="AF709" s="89"/>
      <c r="AG709" s="89"/>
      <c r="AH709" s="89"/>
      <c r="AI709" s="89"/>
      <c r="AJ709" s="89"/>
      <c r="AK709" s="89"/>
      <c r="AL709" s="89"/>
      <c r="AM709" s="89"/>
      <c r="AN709" s="89"/>
      <c r="AO709" s="89"/>
      <c r="AP709" s="89"/>
      <c r="AQ709" s="89"/>
      <c r="AR709" s="89"/>
      <c r="AS709" s="89"/>
      <c r="AT709" s="89"/>
      <c r="AU709" s="89"/>
      <c r="AV709" s="89"/>
      <c r="AW709" s="89"/>
      <c r="AX709" s="89"/>
      <c r="AY709" s="89"/>
      <c r="AZ709" s="89"/>
      <c r="BA709" s="89"/>
      <c r="BB709" s="89"/>
      <c r="BC709" s="89"/>
      <c r="BD709" s="89"/>
      <c r="BE709" s="89"/>
      <c r="BF709" s="89"/>
    </row>
    <row r="710" spans="1:58" s="14" customFormat="1" ht="14.1" customHeight="1">
      <c r="A710" s="412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  <c r="AA710" s="89"/>
      <c r="AB710" s="89"/>
      <c r="AC710" s="89"/>
      <c r="AD710" s="89"/>
      <c r="AE710" s="89"/>
      <c r="AF710" s="89"/>
      <c r="AG710" s="89"/>
      <c r="AH710" s="89"/>
      <c r="AI710" s="89"/>
      <c r="AJ710" s="89"/>
      <c r="AK710" s="89"/>
      <c r="AL710" s="89"/>
      <c r="AM710" s="89"/>
      <c r="AN710" s="89"/>
      <c r="AO710" s="89"/>
      <c r="AP710" s="89"/>
      <c r="AQ710" s="89"/>
      <c r="AR710" s="89"/>
      <c r="AS710" s="89"/>
      <c r="AT710" s="89"/>
      <c r="AU710" s="89"/>
      <c r="AV710" s="89"/>
      <c r="AW710" s="89"/>
      <c r="AX710" s="89"/>
      <c r="AY710" s="89"/>
      <c r="AZ710" s="89"/>
      <c r="BA710" s="89"/>
      <c r="BB710" s="89"/>
      <c r="BC710" s="89"/>
      <c r="BD710" s="89"/>
      <c r="BE710" s="89"/>
      <c r="BF710" s="89"/>
    </row>
    <row r="711" spans="1:58" s="14" customFormat="1" ht="14.1" customHeight="1">
      <c r="A711" s="412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  <c r="AA711" s="89"/>
      <c r="AB711" s="89"/>
      <c r="AC711" s="89"/>
      <c r="AD711" s="89"/>
      <c r="AE711" s="89"/>
      <c r="AF711" s="89"/>
      <c r="AG711" s="89"/>
      <c r="AH711" s="89"/>
      <c r="AI711" s="89"/>
      <c r="AJ711" s="89"/>
      <c r="AK711" s="89"/>
      <c r="AL711" s="89"/>
      <c r="AM711" s="89"/>
      <c r="AN711" s="89"/>
      <c r="AO711" s="89"/>
      <c r="AP711" s="89"/>
      <c r="AQ711" s="89"/>
      <c r="AR711" s="89"/>
      <c r="AS711" s="89"/>
      <c r="AT711" s="89"/>
      <c r="AU711" s="89"/>
      <c r="AV711" s="89"/>
      <c r="AW711" s="89"/>
      <c r="AX711" s="89"/>
      <c r="AY711" s="89"/>
      <c r="AZ711" s="89"/>
      <c r="BA711" s="89"/>
      <c r="BB711" s="89"/>
      <c r="BC711" s="89"/>
      <c r="BD711" s="89"/>
      <c r="BE711" s="89"/>
      <c r="BF711" s="89"/>
    </row>
    <row r="712" spans="1:58" s="14" customFormat="1" ht="14.1" customHeight="1">
      <c r="A712" s="412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  <c r="AA712" s="89"/>
      <c r="AB712" s="89"/>
      <c r="AC712" s="89"/>
      <c r="AD712" s="89"/>
      <c r="AE712" s="89"/>
      <c r="AF712" s="89"/>
      <c r="AG712" s="89"/>
      <c r="AH712" s="89"/>
      <c r="AI712" s="89"/>
      <c r="AJ712" s="89"/>
      <c r="AK712" s="89"/>
      <c r="AL712" s="89"/>
      <c r="AM712" s="89"/>
      <c r="AN712" s="89"/>
      <c r="AO712" s="89"/>
      <c r="AP712" s="89"/>
      <c r="AQ712" s="89"/>
      <c r="AR712" s="89"/>
      <c r="AS712" s="89"/>
      <c r="AT712" s="89"/>
      <c r="AU712" s="89"/>
      <c r="AV712" s="89"/>
      <c r="AW712" s="89"/>
      <c r="AX712" s="89"/>
      <c r="AY712" s="89"/>
      <c r="AZ712" s="89"/>
      <c r="BA712" s="89"/>
      <c r="BB712" s="89"/>
      <c r="BC712" s="89"/>
      <c r="BD712" s="89"/>
      <c r="BE712" s="89"/>
      <c r="BF712" s="89"/>
    </row>
    <row r="713" spans="1:58" s="14" customFormat="1" ht="14.1" customHeight="1">
      <c r="A713" s="412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  <c r="AA713" s="89"/>
      <c r="AB713" s="89"/>
      <c r="AC713" s="89"/>
      <c r="AD713" s="89"/>
      <c r="AE713" s="89"/>
      <c r="AF713" s="89"/>
      <c r="AG713" s="89"/>
      <c r="AH713" s="89"/>
      <c r="AI713" s="89"/>
      <c r="AJ713" s="89"/>
      <c r="AK713" s="89"/>
      <c r="AL713" s="89"/>
      <c r="AM713" s="89"/>
      <c r="AN713" s="89"/>
      <c r="AO713" s="89"/>
      <c r="AP713" s="89"/>
      <c r="AQ713" s="89"/>
      <c r="AR713" s="89"/>
      <c r="AS713" s="89"/>
      <c r="AT713" s="89"/>
      <c r="AU713" s="89"/>
      <c r="AV713" s="89"/>
      <c r="AW713" s="89"/>
      <c r="AX713" s="89"/>
      <c r="AY713" s="89"/>
      <c r="AZ713" s="89"/>
      <c r="BA713" s="89"/>
      <c r="BB713" s="89"/>
      <c r="BC713" s="89"/>
      <c r="BD713" s="89"/>
      <c r="BE713" s="89"/>
      <c r="BF713" s="89"/>
    </row>
    <row r="714" spans="1:58" s="14" customFormat="1" ht="14.1" customHeight="1">
      <c r="A714" s="412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  <c r="AA714" s="89"/>
      <c r="AB714" s="89"/>
      <c r="AC714" s="89"/>
      <c r="AD714" s="89"/>
      <c r="AE714" s="89"/>
      <c r="AF714" s="89"/>
      <c r="AG714" s="89"/>
      <c r="AH714" s="89"/>
      <c r="AI714" s="89"/>
      <c r="AJ714" s="89"/>
      <c r="AK714" s="89"/>
      <c r="AL714" s="89"/>
      <c r="AM714" s="89"/>
      <c r="AN714" s="89"/>
      <c r="AO714" s="89"/>
      <c r="AP714" s="89"/>
      <c r="AQ714" s="89"/>
      <c r="AR714" s="89"/>
      <c r="AS714" s="89"/>
      <c r="AT714" s="89"/>
      <c r="AU714" s="89"/>
      <c r="AV714" s="89"/>
      <c r="AW714" s="89"/>
      <c r="AX714" s="89"/>
      <c r="AY714" s="89"/>
      <c r="AZ714" s="89"/>
      <c r="BA714" s="89"/>
      <c r="BB714" s="89"/>
      <c r="BC714" s="89"/>
      <c r="BD714" s="89"/>
      <c r="BE714" s="89"/>
      <c r="BF714" s="89"/>
    </row>
    <row r="715" spans="1:58" s="14" customFormat="1" ht="14.1" customHeight="1">
      <c r="A715" s="412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  <c r="AA715" s="89"/>
      <c r="AB715" s="89"/>
      <c r="AC715" s="89"/>
      <c r="AD715" s="89"/>
      <c r="AE715" s="89"/>
      <c r="AF715" s="89"/>
      <c r="AG715" s="89"/>
      <c r="AH715" s="89"/>
      <c r="AI715" s="89"/>
      <c r="AJ715" s="89"/>
      <c r="AK715" s="89"/>
      <c r="AL715" s="89"/>
      <c r="AM715" s="89"/>
      <c r="AN715" s="89"/>
      <c r="AO715" s="89"/>
      <c r="AP715" s="89"/>
      <c r="AQ715" s="89"/>
      <c r="AR715" s="89"/>
      <c r="AS715" s="89"/>
      <c r="AT715" s="89"/>
      <c r="AU715" s="89"/>
      <c r="AV715" s="89"/>
      <c r="AW715" s="89"/>
      <c r="AX715" s="89"/>
      <c r="AY715" s="89"/>
      <c r="AZ715" s="89"/>
      <c r="BA715" s="89"/>
      <c r="BB715" s="89"/>
      <c r="BC715" s="89"/>
      <c r="BD715" s="89"/>
      <c r="BE715" s="89"/>
      <c r="BF715" s="89"/>
    </row>
    <row r="716" spans="1:58" s="14" customFormat="1" ht="14.1" customHeight="1">
      <c r="A716" s="412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  <c r="AA716" s="89"/>
      <c r="AB716" s="89"/>
      <c r="AC716" s="89"/>
      <c r="AD716" s="89"/>
      <c r="AE716" s="89"/>
      <c r="AF716" s="89"/>
      <c r="AG716" s="89"/>
      <c r="AH716" s="89"/>
      <c r="AI716" s="89"/>
      <c r="AJ716" s="89"/>
      <c r="AK716" s="89"/>
      <c r="AL716" s="89"/>
      <c r="AM716" s="89"/>
      <c r="AN716" s="89"/>
      <c r="AO716" s="89"/>
      <c r="AP716" s="89"/>
      <c r="AQ716" s="89"/>
      <c r="AR716" s="89"/>
      <c r="AS716" s="89"/>
      <c r="AT716" s="89"/>
      <c r="AU716" s="89"/>
      <c r="AV716" s="89"/>
      <c r="AW716" s="89"/>
      <c r="AX716" s="89"/>
      <c r="AY716" s="89"/>
      <c r="AZ716" s="89"/>
      <c r="BA716" s="89"/>
      <c r="BB716" s="89"/>
      <c r="BC716" s="89"/>
      <c r="BD716" s="89"/>
      <c r="BE716" s="89"/>
      <c r="BF716" s="89"/>
    </row>
    <row r="717" spans="1:58" s="14" customFormat="1" ht="14.1" customHeight="1">
      <c r="A717" s="412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  <c r="AA717" s="89"/>
      <c r="AB717" s="89"/>
      <c r="AC717" s="89"/>
      <c r="AD717" s="89"/>
      <c r="AE717" s="89"/>
      <c r="AF717" s="89"/>
      <c r="AG717" s="89"/>
      <c r="AH717" s="89"/>
      <c r="AI717" s="89"/>
      <c r="AJ717" s="89"/>
      <c r="AK717" s="89"/>
      <c r="AL717" s="89"/>
      <c r="AM717" s="89"/>
      <c r="AN717" s="89"/>
      <c r="AO717" s="89"/>
      <c r="AP717" s="89"/>
      <c r="AQ717" s="89"/>
      <c r="AR717" s="89"/>
      <c r="AS717" s="89"/>
      <c r="AT717" s="89"/>
      <c r="AU717" s="89"/>
      <c r="AV717" s="89"/>
      <c r="AW717" s="89"/>
      <c r="AX717" s="89"/>
      <c r="AY717" s="89"/>
      <c r="AZ717" s="89"/>
      <c r="BA717" s="89"/>
      <c r="BB717" s="89"/>
      <c r="BC717" s="89"/>
      <c r="BD717" s="89"/>
      <c r="BE717" s="89"/>
      <c r="BF717" s="89"/>
    </row>
    <row r="718" spans="1:58" s="14" customFormat="1" ht="14.1" customHeight="1">
      <c r="A718" s="412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  <c r="AA718" s="89"/>
      <c r="AB718" s="89"/>
      <c r="AC718" s="89"/>
      <c r="AD718" s="89"/>
      <c r="AE718" s="89"/>
      <c r="AF718" s="89"/>
      <c r="AG718" s="89"/>
      <c r="AH718" s="89"/>
      <c r="AI718" s="89"/>
      <c r="AJ718" s="89"/>
      <c r="AK718" s="89"/>
      <c r="AL718" s="89"/>
      <c r="AM718" s="89"/>
      <c r="AN718" s="89"/>
      <c r="AO718" s="89"/>
      <c r="AP718" s="89"/>
      <c r="AQ718" s="89"/>
      <c r="AR718" s="89"/>
      <c r="AS718" s="89"/>
      <c r="AT718" s="89"/>
      <c r="AU718" s="89"/>
      <c r="AV718" s="89"/>
      <c r="AW718" s="89"/>
      <c r="AX718" s="89"/>
      <c r="AY718" s="89"/>
      <c r="AZ718" s="89"/>
      <c r="BA718" s="89"/>
      <c r="BB718" s="89"/>
      <c r="BC718" s="89"/>
      <c r="BD718" s="89"/>
      <c r="BE718" s="89"/>
      <c r="BF718" s="89"/>
    </row>
    <row r="719" spans="1:58" s="14" customFormat="1" ht="14.1" customHeight="1">
      <c r="A719" s="412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  <c r="AA719" s="89"/>
      <c r="AB719" s="89"/>
      <c r="AC719" s="89"/>
      <c r="AD719" s="89"/>
      <c r="AE719" s="89"/>
      <c r="AF719" s="89"/>
      <c r="AG719" s="89"/>
      <c r="AH719" s="89"/>
      <c r="AI719" s="89"/>
      <c r="AJ719" s="89"/>
      <c r="AK719" s="89"/>
      <c r="AL719" s="89"/>
      <c r="AM719" s="89"/>
      <c r="AN719" s="89"/>
      <c r="AO719" s="89"/>
      <c r="AP719" s="89"/>
      <c r="AQ719" s="89"/>
      <c r="AR719" s="89"/>
      <c r="AS719" s="89"/>
      <c r="AT719" s="89"/>
      <c r="AU719" s="89"/>
      <c r="AV719" s="89"/>
      <c r="AW719" s="89"/>
      <c r="AX719" s="89"/>
      <c r="AY719" s="89"/>
      <c r="AZ719" s="89"/>
      <c r="BA719" s="89"/>
      <c r="BB719" s="89"/>
      <c r="BC719" s="89"/>
      <c r="BD719" s="89"/>
      <c r="BE719" s="89"/>
      <c r="BF719" s="89"/>
    </row>
    <row r="720" spans="1:58" s="14" customFormat="1" ht="14.1" customHeight="1">
      <c r="A720" s="412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  <c r="AA720" s="89"/>
      <c r="AB720" s="89"/>
      <c r="AC720" s="89"/>
      <c r="AD720" s="89"/>
      <c r="AE720" s="89"/>
      <c r="AF720" s="89"/>
      <c r="AG720" s="89"/>
      <c r="AH720" s="89"/>
      <c r="AI720" s="89"/>
      <c r="AJ720" s="89"/>
      <c r="AK720" s="89"/>
      <c r="AL720" s="89"/>
      <c r="AM720" s="89"/>
      <c r="AN720" s="89"/>
      <c r="AO720" s="89"/>
      <c r="AP720" s="89"/>
      <c r="AQ720" s="89"/>
      <c r="AR720" s="89"/>
      <c r="AS720" s="89"/>
      <c r="AT720" s="89"/>
      <c r="AU720" s="89"/>
      <c r="AV720" s="89"/>
      <c r="AW720" s="89"/>
      <c r="AX720" s="89"/>
      <c r="AY720" s="89"/>
      <c r="AZ720" s="89"/>
      <c r="BA720" s="89"/>
      <c r="BB720" s="89"/>
      <c r="BC720" s="89"/>
      <c r="BD720" s="89"/>
      <c r="BE720" s="89"/>
      <c r="BF720" s="89"/>
    </row>
    <row r="721" spans="1:58" s="14" customFormat="1" ht="14.1" customHeight="1">
      <c r="A721" s="412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  <c r="AA721" s="89"/>
      <c r="AB721" s="89"/>
      <c r="AC721" s="89"/>
      <c r="AD721" s="89"/>
      <c r="AE721" s="89"/>
      <c r="AF721" s="89"/>
      <c r="AG721" s="89"/>
      <c r="AH721" s="89"/>
      <c r="AI721" s="89"/>
      <c r="AJ721" s="89"/>
      <c r="AK721" s="89"/>
      <c r="AL721" s="89"/>
      <c r="AM721" s="89"/>
      <c r="AN721" s="89"/>
      <c r="AO721" s="89"/>
      <c r="AP721" s="89"/>
      <c r="AQ721" s="89"/>
      <c r="AR721" s="89"/>
      <c r="AS721" s="89"/>
      <c r="AT721" s="89"/>
      <c r="AU721" s="89"/>
      <c r="AV721" s="89"/>
      <c r="AW721" s="89"/>
      <c r="AX721" s="89"/>
      <c r="AY721" s="89"/>
      <c r="AZ721" s="89"/>
      <c r="BA721" s="89"/>
      <c r="BB721" s="89"/>
      <c r="BC721" s="89"/>
      <c r="BD721" s="89"/>
      <c r="BE721" s="89"/>
      <c r="BF721" s="89"/>
    </row>
    <row r="722" spans="1:58" s="14" customFormat="1" ht="14.1" customHeight="1">
      <c r="A722" s="412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  <c r="AA722" s="89"/>
      <c r="AB722" s="89"/>
      <c r="AC722" s="89"/>
      <c r="AD722" s="89"/>
      <c r="AE722" s="89"/>
      <c r="AF722" s="89"/>
      <c r="AG722" s="89"/>
      <c r="AH722" s="89"/>
      <c r="AI722" s="89"/>
      <c r="AJ722" s="89"/>
      <c r="AK722" s="89"/>
      <c r="AL722" s="89"/>
      <c r="AM722" s="89"/>
      <c r="AN722" s="89"/>
      <c r="AO722" s="89"/>
      <c r="AP722" s="89"/>
      <c r="AQ722" s="89"/>
      <c r="AR722" s="89"/>
      <c r="AS722" s="89"/>
      <c r="AT722" s="89"/>
      <c r="AU722" s="89"/>
      <c r="AV722" s="89"/>
      <c r="AW722" s="89"/>
      <c r="AX722" s="89"/>
      <c r="AY722" s="89"/>
      <c r="AZ722" s="89"/>
      <c r="BA722" s="89"/>
      <c r="BB722" s="89"/>
      <c r="BC722" s="89"/>
      <c r="BD722" s="89"/>
      <c r="BE722" s="89"/>
      <c r="BF722" s="89"/>
    </row>
    <row r="723" spans="1:58" s="14" customFormat="1" ht="14.1" customHeight="1">
      <c r="A723" s="412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  <c r="AA723" s="89"/>
      <c r="AB723" s="89"/>
      <c r="AC723" s="89"/>
      <c r="AD723" s="89"/>
      <c r="AE723" s="89"/>
      <c r="AF723" s="89"/>
      <c r="AG723" s="89"/>
      <c r="AH723" s="89"/>
      <c r="AI723" s="89"/>
      <c r="AJ723" s="89"/>
      <c r="AK723" s="89"/>
      <c r="AL723" s="89"/>
      <c r="AM723" s="89"/>
      <c r="AN723" s="89"/>
      <c r="AO723" s="89"/>
      <c r="AP723" s="89"/>
      <c r="AQ723" s="89"/>
      <c r="AR723" s="89"/>
      <c r="AS723" s="89"/>
      <c r="AT723" s="89"/>
      <c r="AU723" s="89"/>
      <c r="AV723" s="89"/>
      <c r="AW723" s="89"/>
      <c r="AX723" s="89"/>
      <c r="AY723" s="89"/>
      <c r="AZ723" s="89"/>
      <c r="BA723" s="89"/>
      <c r="BB723" s="89"/>
      <c r="BC723" s="89"/>
      <c r="BD723" s="89"/>
      <c r="BE723" s="89"/>
      <c r="BF723" s="89"/>
    </row>
    <row r="724" spans="1:58" s="14" customFormat="1" ht="14.1" customHeight="1">
      <c r="A724" s="412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  <c r="AA724" s="89"/>
      <c r="AB724" s="89"/>
      <c r="AC724" s="89"/>
      <c r="AD724" s="89"/>
      <c r="AE724" s="89"/>
      <c r="AF724" s="89"/>
      <c r="AG724" s="89"/>
      <c r="AH724" s="89"/>
      <c r="AI724" s="89"/>
      <c r="AJ724" s="89"/>
      <c r="AK724" s="89"/>
      <c r="AL724" s="89"/>
      <c r="AM724" s="89"/>
      <c r="AN724" s="89"/>
      <c r="AO724" s="89"/>
      <c r="AP724" s="89"/>
      <c r="AQ724" s="89"/>
      <c r="AR724" s="89"/>
      <c r="AS724" s="89"/>
      <c r="AT724" s="89"/>
      <c r="AU724" s="89"/>
      <c r="AV724" s="89"/>
      <c r="AW724" s="89"/>
      <c r="AX724" s="89"/>
      <c r="AY724" s="89"/>
      <c r="AZ724" s="89"/>
      <c r="BA724" s="89"/>
      <c r="BB724" s="89"/>
      <c r="BC724" s="89"/>
      <c r="BD724" s="89"/>
      <c r="BE724" s="89"/>
      <c r="BF724" s="89"/>
    </row>
    <row r="725" spans="1:58" s="14" customFormat="1" ht="14.1" customHeight="1">
      <c r="A725" s="412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  <c r="AA725" s="89"/>
      <c r="AB725" s="89"/>
      <c r="AC725" s="89"/>
      <c r="AD725" s="89"/>
      <c r="AE725" s="89"/>
      <c r="AF725" s="89"/>
      <c r="AG725" s="89"/>
      <c r="AH725" s="89"/>
      <c r="AI725" s="89"/>
      <c r="AJ725" s="89"/>
      <c r="AK725" s="89"/>
      <c r="AL725" s="89"/>
      <c r="AM725" s="89"/>
      <c r="AN725" s="89"/>
      <c r="AO725" s="89"/>
      <c r="AP725" s="89"/>
      <c r="AQ725" s="89"/>
      <c r="AR725" s="89"/>
      <c r="AS725" s="89"/>
      <c r="AT725" s="89"/>
      <c r="AU725" s="89"/>
      <c r="AV725" s="89"/>
      <c r="AW725" s="89"/>
      <c r="AX725" s="89"/>
      <c r="AY725" s="89"/>
      <c r="AZ725" s="89"/>
      <c r="BA725" s="89"/>
      <c r="BB725" s="89"/>
      <c r="BC725" s="89"/>
      <c r="BD725" s="89"/>
      <c r="BE725" s="89"/>
      <c r="BF725" s="89"/>
    </row>
    <row r="726" spans="1:58" s="14" customFormat="1" ht="14.1" customHeight="1">
      <c r="A726" s="412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  <c r="AA726" s="89"/>
      <c r="AB726" s="89"/>
      <c r="AC726" s="89"/>
      <c r="AD726" s="89"/>
      <c r="AE726" s="89"/>
      <c r="AF726" s="89"/>
      <c r="AG726" s="89"/>
      <c r="AH726" s="89"/>
      <c r="AI726" s="89"/>
      <c r="AJ726" s="89"/>
      <c r="AK726" s="89"/>
      <c r="AL726" s="89"/>
      <c r="AM726" s="89"/>
      <c r="AN726" s="89"/>
      <c r="AO726" s="89"/>
      <c r="AP726" s="89"/>
      <c r="AQ726" s="89"/>
      <c r="AR726" s="89"/>
      <c r="AS726" s="89"/>
      <c r="AT726" s="89"/>
      <c r="AU726" s="89"/>
      <c r="AV726" s="89"/>
      <c r="AW726" s="89"/>
      <c r="AX726" s="89"/>
      <c r="AY726" s="89"/>
      <c r="AZ726" s="89"/>
      <c r="BA726" s="89"/>
      <c r="BB726" s="89"/>
      <c r="BC726" s="89"/>
      <c r="BD726" s="89"/>
      <c r="BE726" s="89"/>
      <c r="BF726" s="89"/>
    </row>
    <row r="727" spans="1:58" s="14" customFormat="1" ht="14.1" customHeight="1">
      <c r="A727" s="412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  <c r="AA727" s="89"/>
      <c r="AB727" s="89"/>
      <c r="AC727" s="89"/>
      <c r="AD727" s="89"/>
      <c r="AE727" s="89"/>
      <c r="AF727" s="89"/>
      <c r="AG727" s="89"/>
      <c r="AH727" s="89"/>
      <c r="AI727" s="89"/>
      <c r="AJ727" s="89"/>
      <c r="AK727" s="89"/>
      <c r="AL727" s="89"/>
      <c r="AM727" s="89"/>
      <c r="AN727" s="89"/>
      <c r="AO727" s="89"/>
      <c r="AP727" s="89"/>
      <c r="AQ727" s="89"/>
      <c r="AR727" s="89"/>
      <c r="AS727" s="89"/>
      <c r="AT727" s="89"/>
      <c r="AU727" s="89"/>
      <c r="AV727" s="89"/>
      <c r="AW727" s="89"/>
      <c r="AX727" s="89"/>
      <c r="AY727" s="89"/>
      <c r="AZ727" s="89"/>
      <c r="BA727" s="89"/>
      <c r="BB727" s="89"/>
      <c r="BC727" s="89"/>
      <c r="BD727" s="89"/>
      <c r="BE727" s="89"/>
      <c r="BF727" s="89"/>
    </row>
    <row r="728" spans="1:58" s="14" customFormat="1" ht="14.1" customHeight="1">
      <c r="A728" s="412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  <c r="AA728" s="89"/>
      <c r="AB728" s="89"/>
      <c r="AC728" s="89"/>
      <c r="AD728" s="89"/>
      <c r="AE728" s="89"/>
      <c r="AF728" s="89"/>
      <c r="AG728" s="89"/>
      <c r="AH728" s="89"/>
      <c r="AI728" s="89"/>
      <c r="AJ728" s="89"/>
      <c r="AK728" s="89"/>
      <c r="AL728" s="89"/>
      <c r="AM728" s="89"/>
      <c r="AN728" s="89"/>
      <c r="AO728" s="89"/>
      <c r="AP728" s="89"/>
      <c r="AQ728" s="89"/>
      <c r="AR728" s="89"/>
      <c r="AS728" s="89"/>
      <c r="AT728" s="89"/>
      <c r="AU728" s="89"/>
      <c r="AV728" s="89"/>
      <c r="AW728" s="89"/>
      <c r="AX728" s="89"/>
      <c r="AY728" s="89"/>
      <c r="AZ728" s="89"/>
      <c r="BA728" s="89"/>
      <c r="BB728" s="89"/>
      <c r="BC728" s="89"/>
      <c r="BD728" s="89"/>
      <c r="BE728" s="89"/>
      <c r="BF728" s="89"/>
    </row>
    <row r="729" spans="1:58" s="14" customFormat="1" ht="14.1" customHeight="1">
      <c r="A729" s="412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  <c r="AA729" s="89"/>
      <c r="AB729" s="89"/>
      <c r="AC729" s="89"/>
      <c r="AD729" s="89"/>
      <c r="AE729" s="89"/>
      <c r="AF729" s="89"/>
      <c r="AG729" s="89"/>
      <c r="AH729" s="89"/>
      <c r="AI729" s="89"/>
      <c r="AJ729" s="89"/>
      <c r="AK729" s="89"/>
      <c r="AL729" s="89"/>
      <c r="AM729" s="89"/>
      <c r="AN729" s="89"/>
      <c r="AO729" s="89"/>
      <c r="AP729" s="89"/>
      <c r="AQ729" s="89"/>
      <c r="AR729" s="89"/>
      <c r="AS729" s="89"/>
      <c r="AT729" s="89"/>
      <c r="AU729" s="89"/>
      <c r="AV729" s="89"/>
      <c r="AW729" s="89"/>
      <c r="AX729" s="89"/>
      <c r="AY729" s="89"/>
      <c r="AZ729" s="89"/>
      <c r="BA729" s="89"/>
      <c r="BB729" s="89"/>
      <c r="BC729" s="89"/>
      <c r="BD729" s="89"/>
      <c r="BE729" s="89"/>
      <c r="BF729" s="89"/>
    </row>
    <row r="730" spans="1:58" s="14" customFormat="1" ht="14.1" customHeight="1">
      <c r="A730" s="412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  <c r="AA730" s="89"/>
      <c r="AB730" s="89"/>
      <c r="AC730" s="89"/>
      <c r="AD730" s="89"/>
      <c r="AE730" s="89"/>
      <c r="AF730" s="89"/>
      <c r="AG730" s="89"/>
      <c r="AH730" s="89"/>
      <c r="AI730" s="89"/>
      <c r="AJ730" s="89"/>
      <c r="AK730" s="89"/>
      <c r="AL730" s="89"/>
      <c r="AM730" s="89"/>
      <c r="AN730" s="89"/>
      <c r="AO730" s="89"/>
      <c r="AP730" s="89"/>
      <c r="AQ730" s="89"/>
      <c r="AR730" s="89"/>
      <c r="AS730" s="89"/>
      <c r="AT730" s="89"/>
      <c r="AU730" s="89"/>
      <c r="AV730" s="89"/>
      <c r="AW730" s="89"/>
      <c r="AX730" s="89"/>
      <c r="AY730" s="89"/>
      <c r="AZ730" s="89"/>
      <c r="BA730" s="89"/>
      <c r="BB730" s="89"/>
      <c r="BC730" s="89"/>
      <c r="BD730" s="89"/>
      <c r="BE730" s="89"/>
      <c r="BF730" s="89"/>
    </row>
    <row r="731" spans="1:58" s="14" customFormat="1" ht="14.1" customHeight="1">
      <c r="A731" s="412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  <c r="AA731" s="89"/>
      <c r="AB731" s="89"/>
      <c r="AC731" s="89"/>
      <c r="AD731" s="89"/>
      <c r="AE731" s="89"/>
      <c r="AF731" s="89"/>
      <c r="AG731" s="89"/>
      <c r="AH731" s="89"/>
      <c r="AI731" s="89"/>
      <c r="AJ731" s="89"/>
      <c r="AK731" s="89"/>
      <c r="AL731" s="89"/>
      <c r="AM731" s="89"/>
      <c r="AN731" s="89"/>
      <c r="AO731" s="89"/>
      <c r="AP731" s="89"/>
      <c r="AQ731" s="89"/>
      <c r="AR731" s="89"/>
      <c r="AS731" s="89"/>
      <c r="AT731" s="89"/>
      <c r="AU731" s="89"/>
      <c r="AV731" s="89"/>
      <c r="AW731" s="89"/>
      <c r="AX731" s="89"/>
      <c r="AY731" s="89"/>
      <c r="AZ731" s="89"/>
      <c r="BA731" s="89"/>
      <c r="BB731" s="89"/>
      <c r="BC731" s="89"/>
      <c r="BD731" s="89"/>
      <c r="BE731" s="89"/>
      <c r="BF731" s="89"/>
    </row>
    <row r="732" spans="1:58" s="14" customFormat="1" ht="14.1" customHeight="1">
      <c r="A732" s="412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  <c r="AA732" s="89"/>
      <c r="AB732" s="89"/>
      <c r="AC732" s="89"/>
      <c r="AD732" s="89"/>
      <c r="AE732" s="89"/>
      <c r="AF732" s="89"/>
      <c r="AG732" s="89"/>
      <c r="AH732" s="89"/>
      <c r="AI732" s="89"/>
      <c r="AJ732" s="89"/>
      <c r="AK732" s="89"/>
      <c r="AL732" s="89"/>
      <c r="AM732" s="89"/>
      <c r="AN732" s="89"/>
      <c r="AO732" s="89"/>
      <c r="AP732" s="89"/>
      <c r="AQ732" s="89"/>
      <c r="AR732" s="89"/>
      <c r="AS732" s="89"/>
      <c r="AT732" s="89"/>
      <c r="AU732" s="89"/>
      <c r="AV732" s="89"/>
      <c r="AW732" s="89"/>
      <c r="AX732" s="89"/>
      <c r="AY732" s="89"/>
      <c r="AZ732" s="89"/>
      <c r="BA732" s="89"/>
      <c r="BB732" s="89"/>
      <c r="BC732" s="89"/>
      <c r="BD732" s="89"/>
      <c r="BE732" s="89"/>
      <c r="BF732" s="89"/>
    </row>
    <row r="733" spans="1:58" s="14" customFormat="1" ht="14.1" customHeight="1">
      <c r="A733" s="412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  <c r="AA733" s="89"/>
      <c r="AB733" s="89"/>
      <c r="AC733" s="89"/>
      <c r="AD733" s="89"/>
      <c r="AE733" s="89"/>
      <c r="AF733" s="89"/>
      <c r="AG733" s="89"/>
      <c r="AH733" s="89"/>
      <c r="AI733" s="89"/>
      <c r="AJ733" s="89"/>
      <c r="AK733" s="89"/>
      <c r="AL733" s="89"/>
      <c r="AM733" s="89"/>
      <c r="AN733" s="89"/>
      <c r="AO733" s="89"/>
      <c r="AP733" s="89"/>
      <c r="AQ733" s="89"/>
      <c r="AR733" s="89"/>
      <c r="AS733" s="89"/>
      <c r="AT733" s="89"/>
      <c r="AU733" s="89"/>
      <c r="AV733" s="89"/>
      <c r="AW733" s="89"/>
      <c r="AX733" s="89"/>
      <c r="AY733" s="89"/>
      <c r="AZ733" s="89"/>
      <c r="BA733" s="89"/>
      <c r="BB733" s="89"/>
      <c r="BC733" s="89"/>
      <c r="BD733" s="89"/>
      <c r="BE733" s="89"/>
      <c r="BF733" s="89"/>
    </row>
    <row r="734" spans="1:58" s="14" customFormat="1" ht="14.1" customHeight="1">
      <c r="A734" s="412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  <c r="AA734" s="89"/>
      <c r="AB734" s="89"/>
      <c r="AC734" s="89"/>
      <c r="AD734" s="89"/>
      <c r="AE734" s="89"/>
      <c r="AF734" s="89"/>
      <c r="AG734" s="89"/>
      <c r="AH734" s="89"/>
      <c r="AI734" s="89"/>
      <c r="AJ734" s="89"/>
      <c r="AK734" s="89"/>
      <c r="AL734" s="89"/>
      <c r="AM734" s="89"/>
      <c r="AN734" s="89"/>
      <c r="AO734" s="89"/>
      <c r="AP734" s="89"/>
      <c r="AQ734" s="89"/>
      <c r="AR734" s="89"/>
      <c r="AS734" s="89"/>
      <c r="AT734" s="89"/>
      <c r="AU734" s="89"/>
      <c r="AV734" s="89"/>
      <c r="AW734" s="89"/>
      <c r="AX734" s="89"/>
      <c r="AY734" s="89"/>
      <c r="AZ734" s="89"/>
      <c r="BA734" s="89"/>
      <c r="BB734" s="89"/>
      <c r="BC734" s="89"/>
      <c r="BD734" s="89"/>
      <c r="BE734" s="89"/>
      <c r="BF734" s="89"/>
    </row>
    <row r="735" spans="1:58" s="14" customFormat="1" ht="14.1" customHeight="1">
      <c r="A735" s="412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  <c r="AA735" s="89"/>
      <c r="AB735" s="89"/>
      <c r="AC735" s="89"/>
      <c r="AD735" s="89"/>
      <c r="AE735" s="89"/>
      <c r="AF735" s="89"/>
      <c r="AG735" s="89"/>
      <c r="AH735" s="89"/>
      <c r="AI735" s="89"/>
      <c r="AJ735" s="89"/>
      <c r="AK735" s="89"/>
      <c r="AL735" s="89"/>
      <c r="AM735" s="89"/>
      <c r="AN735" s="89"/>
      <c r="AO735" s="89"/>
      <c r="AP735" s="89"/>
      <c r="AQ735" s="89"/>
      <c r="AR735" s="89"/>
      <c r="AS735" s="89"/>
      <c r="AT735" s="89"/>
      <c r="AU735" s="89"/>
      <c r="AV735" s="89"/>
      <c r="AW735" s="89"/>
      <c r="AX735" s="89"/>
      <c r="AY735" s="89"/>
      <c r="AZ735" s="89"/>
      <c r="BA735" s="89"/>
      <c r="BB735" s="89"/>
      <c r="BC735" s="89"/>
      <c r="BD735" s="89"/>
      <c r="BE735" s="89"/>
      <c r="BF735" s="89"/>
    </row>
    <row r="736" spans="1:58" s="14" customFormat="1" ht="14.1" customHeight="1">
      <c r="A736" s="412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  <c r="AA736" s="89"/>
      <c r="AB736" s="89"/>
      <c r="AC736" s="89"/>
      <c r="AD736" s="89"/>
      <c r="AE736" s="89"/>
      <c r="AF736" s="89"/>
      <c r="AG736" s="89"/>
      <c r="AH736" s="89"/>
      <c r="AI736" s="89"/>
      <c r="AJ736" s="89"/>
      <c r="AK736" s="89"/>
      <c r="AL736" s="89"/>
      <c r="AM736" s="89"/>
      <c r="AN736" s="89"/>
      <c r="AO736" s="89"/>
      <c r="AP736" s="89"/>
      <c r="AQ736" s="89"/>
      <c r="AR736" s="89"/>
      <c r="AS736" s="89"/>
      <c r="AT736" s="89"/>
      <c r="AU736" s="89"/>
      <c r="AV736" s="89"/>
      <c r="AW736" s="89"/>
      <c r="AX736" s="89"/>
      <c r="AY736" s="89"/>
      <c r="AZ736" s="89"/>
      <c r="BA736" s="89"/>
      <c r="BB736" s="89"/>
      <c r="BC736" s="89"/>
      <c r="BD736" s="89"/>
      <c r="BE736" s="89"/>
      <c r="BF736" s="89"/>
    </row>
    <row r="737" spans="1:58" s="14" customFormat="1" ht="14.1" customHeight="1">
      <c r="A737" s="412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  <c r="AA737" s="89"/>
      <c r="AB737" s="89"/>
      <c r="AC737" s="89"/>
      <c r="AD737" s="89"/>
      <c r="AE737" s="89"/>
      <c r="AF737" s="89"/>
      <c r="AG737" s="89"/>
      <c r="AH737" s="89"/>
      <c r="AI737" s="89"/>
      <c r="AJ737" s="89"/>
      <c r="AK737" s="89"/>
      <c r="AL737" s="89"/>
      <c r="AM737" s="89"/>
      <c r="AN737" s="89"/>
      <c r="AO737" s="89"/>
      <c r="AP737" s="89"/>
      <c r="AQ737" s="89"/>
      <c r="AR737" s="89"/>
      <c r="AS737" s="89"/>
      <c r="AT737" s="89"/>
      <c r="AU737" s="89"/>
      <c r="AV737" s="89"/>
      <c r="AW737" s="89"/>
      <c r="AX737" s="89"/>
      <c r="AY737" s="89"/>
      <c r="AZ737" s="89"/>
      <c r="BA737" s="89"/>
      <c r="BB737" s="89"/>
      <c r="BC737" s="89"/>
      <c r="BD737" s="89"/>
      <c r="BE737" s="89"/>
      <c r="BF737" s="89"/>
    </row>
    <row r="738" spans="1:58" s="14" customFormat="1" ht="14.1" customHeight="1">
      <c r="A738" s="412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  <c r="AA738" s="89"/>
      <c r="AB738" s="89"/>
      <c r="AC738" s="89"/>
      <c r="AD738" s="89"/>
      <c r="AE738" s="89"/>
      <c r="AF738" s="89"/>
      <c r="AG738" s="89"/>
      <c r="AH738" s="89"/>
      <c r="AI738" s="89"/>
      <c r="AJ738" s="89"/>
      <c r="AK738" s="89"/>
      <c r="AL738" s="89"/>
      <c r="AM738" s="89"/>
      <c r="AN738" s="89"/>
      <c r="AO738" s="89"/>
      <c r="AP738" s="89"/>
      <c r="AQ738" s="89"/>
      <c r="AR738" s="89"/>
      <c r="AS738" s="89"/>
      <c r="AT738" s="89"/>
      <c r="AU738" s="89"/>
      <c r="AV738" s="89"/>
      <c r="AW738" s="89"/>
      <c r="AX738" s="89"/>
      <c r="AY738" s="89"/>
      <c r="AZ738" s="89"/>
      <c r="BA738" s="89"/>
      <c r="BB738" s="89"/>
      <c r="BC738" s="89"/>
      <c r="BD738" s="89"/>
      <c r="BE738" s="89"/>
      <c r="BF738" s="89"/>
    </row>
    <row r="739" spans="1:58" s="14" customFormat="1" ht="14.1" customHeight="1">
      <c r="A739" s="412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  <c r="AA739" s="89"/>
      <c r="AB739" s="89"/>
      <c r="AC739" s="89"/>
      <c r="AD739" s="89"/>
      <c r="AE739" s="89"/>
      <c r="AF739" s="89"/>
      <c r="AG739" s="89"/>
      <c r="AH739" s="89"/>
      <c r="AI739" s="89"/>
      <c r="AJ739" s="89"/>
      <c r="AK739" s="89"/>
      <c r="AL739" s="89"/>
      <c r="AM739" s="89"/>
      <c r="AN739" s="89"/>
      <c r="AO739" s="89"/>
      <c r="AP739" s="89"/>
      <c r="AQ739" s="89"/>
      <c r="AR739" s="89"/>
      <c r="AS739" s="89"/>
      <c r="AT739" s="89"/>
      <c r="AU739" s="89"/>
      <c r="AV739" s="89"/>
      <c r="AW739" s="89"/>
      <c r="AX739" s="89"/>
      <c r="AY739" s="89"/>
      <c r="AZ739" s="89"/>
      <c r="BA739" s="89"/>
      <c r="BB739" s="89"/>
      <c r="BC739" s="89"/>
      <c r="BD739" s="89"/>
      <c r="BE739" s="89"/>
      <c r="BF739" s="89"/>
    </row>
    <row r="740" spans="1:58" s="14" customFormat="1" ht="14.1" customHeight="1">
      <c r="A740" s="412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  <c r="AA740" s="89"/>
      <c r="AB740" s="89"/>
      <c r="AC740" s="89"/>
      <c r="AD740" s="89"/>
      <c r="AE740" s="89"/>
      <c r="AF740" s="89"/>
      <c r="AG740" s="89"/>
      <c r="AH740" s="89"/>
      <c r="AI740" s="89"/>
      <c r="AJ740" s="89"/>
      <c r="AK740" s="89"/>
      <c r="AL740" s="89"/>
      <c r="AM740" s="89"/>
      <c r="AN740" s="89"/>
      <c r="AO740" s="89"/>
      <c r="AP740" s="89"/>
      <c r="AQ740" s="89"/>
      <c r="AR740" s="89"/>
      <c r="AS740" s="89"/>
      <c r="AT740" s="89"/>
      <c r="AU740" s="89"/>
      <c r="AV740" s="89"/>
      <c r="AW740" s="89"/>
      <c r="AX740" s="89"/>
      <c r="AY740" s="89"/>
      <c r="AZ740" s="89"/>
      <c r="BA740" s="89"/>
      <c r="BB740" s="89"/>
      <c r="BC740" s="89"/>
      <c r="BD740" s="89"/>
      <c r="BE740" s="89"/>
      <c r="BF740" s="89"/>
    </row>
    <row r="741" spans="1:58" s="14" customFormat="1" ht="14.1" customHeight="1">
      <c r="A741" s="412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  <c r="AA741" s="89"/>
      <c r="AB741" s="89"/>
      <c r="AC741" s="89"/>
      <c r="AD741" s="89"/>
      <c r="AE741" s="89"/>
      <c r="AF741" s="89"/>
      <c r="AG741" s="89"/>
      <c r="AH741" s="89"/>
      <c r="AI741" s="89"/>
      <c r="AJ741" s="89"/>
      <c r="AK741" s="89"/>
      <c r="AL741" s="89"/>
      <c r="AM741" s="89"/>
      <c r="AN741" s="89"/>
      <c r="AO741" s="89"/>
      <c r="AP741" s="89"/>
      <c r="AQ741" s="89"/>
      <c r="AR741" s="89"/>
      <c r="AS741" s="89"/>
      <c r="AT741" s="89"/>
      <c r="AU741" s="89"/>
      <c r="AV741" s="89"/>
      <c r="AW741" s="89"/>
      <c r="AX741" s="89"/>
      <c r="AY741" s="89"/>
      <c r="AZ741" s="89"/>
      <c r="BA741" s="89"/>
      <c r="BB741" s="89"/>
      <c r="BC741" s="89"/>
      <c r="BD741" s="89"/>
      <c r="BE741" s="89"/>
      <c r="BF741" s="89"/>
    </row>
    <row r="742" spans="1:58" s="14" customFormat="1" ht="14.1" customHeight="1">
      <c r="A742" s="412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  <c r="AA742" s="89"/>
      <c r="AB742" s="89"/>
      <c r="AC742" s="89"/>
      <c r="AD742" s="89"/>
      <c r="AE742" s="89"/>
      <c r="AF742" s="89"/>
      <c r="AG742" s="89"/>
      <c r="AH742" s="89"/>
      <c r="AI742" s="89"/>
      <c r="AJ742" s="89"/>
      <c r="AK742" s="89"/>
      <c r="AL742" s="89"/>
      <c r="AM742" s="89"/>
      <c r="AN742" s="89"/>
      <c r="AO742" s="89"/>
      <c r="AP742" s="89"/>
      <c r="AQ742" s="89"/>
      <c r="AR742" s="89"/>
      <c r="AS742" s="89"/>
      <c r="AT742" s="89"/>
      <c r="AU742" s="89"/>
      <c r="AV742" s="89"/>
      <c r="AW742" s="89"/>
      <c r="AX742" s="89"/>
      <c r="AY742" s="89"/>
      <c r="AZ742" s="89"/>
      <c r="BA742" s="89"/>
      <c r="BB742" s="89"/>
      <c r="BC742" s="89"/>
      <c r="BD742" s="89"/>
      <c r="BE742" s="89"/>
      <c r="BF742" s="89"/>
    </row>
    <row r="743" spans="1:58" s="14" customFormat="1" ht="14.1" customHeight="1">
      <c r="A743" s="412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  <c r="AA743" s="89"/>
      <c r="AB743" s="89"/>
      <c r="AC743" s="89"/>
      <c r="AD743" s="89"/>
      <c r="AE743" s="89"/>
      <c r="AF743" s="89"/>
      <c r="AG743" s="89"/>
      <c r="AH743" s="89"/>
      <c r="AI743" s="89"/>
      <c r="AJ743" s="89"/>
      <c r="AK743" s="89"/>
      <c r="AL743" s="89"/>
      <c r="AM743" s="89"/>
      <c r="AN743" s="89"/>
      <c r="AO743" s="89"/>
      <c r="AP743" s="89"/>
      <c r="AQ743" s="89"/>
      <c r="AR743" s="89"/>
      <c r="AS743" s="89"/>
      <c r="AT743" s="89"/>
      <c r="AU743" s="89"/>
      <c r="AV743" s="89"/>
      <c r="AW743" s="89"/>
      <c r="AX743" s="89"/>
      <c r="AY743" s="89"/>
      <c r="AZ743" s="89"/>
      <c r="BA743" s="89"/>
      <c r="BB743" s="89"/>
      <c r="BC743" s="89"/>
      <c r="BD743" s="89"/>
      <c r="BE743" s="89"/>
      <c r="BF743" s="89"/>
    </row>
    <row r="744" spans="1:58" s="14" customFormat="1" ht="14.1" customHeight="1">
      <c r="A744" s="412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  <c r="AA744" s="89"/>
      <c r="AB744" s="89"/>
      <c r="AC744" s="89"/>
      <c r="AD744" s="89"/>
      <c r="AE744" s="89"/>
      <c r="AF744" s="89"/>
      <c r="AG744" s="89"/>
      <c r="AH744" s="89"/>
      <c r="AI744" s="89"/>
      <c r="AJ744" s="89"/>
      <c r="AK744" s="89"/>
      <c r="AL744" s="89"/>
      <c r="AM744" s="89"/>
      <c r="AN744" s="89"/>
      <c r="AO744" s="89"/>
      <c r="AP744" s="89"/>
      <c r="AQ744" s="89"/>
      <c r="AR744" s="89"/>
      <c r="AS744" s="89"/>
      <c r="AT744" s="89"/>
      <c r="AU744" s="89"/>
      <c r="AV744" s="89"/>
      <c r="AW744" s="89"/>
      <c r="AX744" s="89"/>
      <c r="AY744" s="89"/>
      <c r="AZ744" s="89"/>
      <c r="BA744" s="89"/>
      <c r="BB744" s="89"/>
      <c r="BC744" s="89"/>
      <c r="BD744" s="89"/>
      <c r="BE744" s="89"/>
      <c r="BF744" s="89"/>
    </row>
    <row r="745" spans="1:58" s="14" customFormat="1" ht="14.1" customHeight="1">
      <c r="A745" s="412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  <c r="AA745" s="89"/>
      <c r="AB745" s="89"/>
      <c r="AC745" s="89"/>
      <c r="AD745" s="89"/>
      <c r="AE745" s="89"/>
      <c r="AF745" s="89"/>
      <c r="AG745" s="89"/>
      <c r="AH745" s="89"/>
      <c r="AI745" s="89"/>
      <c r="AJ745" s="89"/>
      <c r="AK745" s="89"/>
      <c r="AL745" s="89"/>
      <c r="AM745" s="89"/>
      <c r="AN745" s="89"/>
      <c r="AO745" s="89"/>
      <c r="AP745" s="89"/>
      <c r="AQ745" s="89"/>
      <c r="AR745" s="89"/>
      <c r="AS745" s="89"/>
      <c r="AT745" s="89"/>
      <c r="AU745" s="89"/>
      <c r="AV745" s="89"/>
      <c r="AW745" s="89"/>
      <c r="AX745" s="89"/>
      <c r="AY745" s="89"/>
      <c r="AZ745" s="89"/>
      <c r="BA745" s="89"/>
      <c r="BB745" s="89"/>
      <c r="BC745" s="89"/>
      <c r="BD745" s="89"/>
      <c r="BE745" s="89"/>
      <c r="BF745" s="89"/>
    </row>
    <row r="746" spans="1:58" s="14" customFormat="1" ht="14.1" customHeight="1">
      <c r="A746" s="412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  <c r="AA746" s="89"/>
      <c r="AB746" s="89"/>
      <c r="AC746" s="89"/>
      <c r="AD746" s="89"/>
      <c r="AE746" s="89"/>
      <c r="AF746" s="89"/>
      <c r="AG746" s="89"/>
      <c r="AH746" s="89"/>
      <c r="AI746" s="89"/>
      <c r="AJ746" s="89"/>
      <c r="AK746" s="89"/>
      <c r="AL746" s="89"/>
      <c r="AM746" s="89"/>
      <c r="AN746" s="89"/>
      <c r="AO746" s="89"/>
      <c r="AP746" s="89"/>
      <c r="AQ746" s="89"/>
      <c r="AR746" s="89"/>
      <c r="AS746" s="89"/>
      <c r="AT746" s="89"/>
      <c r="AU746" s="89"/>
      <c r="AV746" s="89"/>
      <c r="AW746" s="89"/>
      <c r="AX746" s="89"/>
      <c r="AY746" s="89"/>
      <c r="AZ746" s="89"/>
      <c r="BA746" s="89"/>
      <c r="BB746" s="89"/>
      <c r="BC746" s="89"/>
      <c r="BD746" s="89"/>
      <c r="BE746" s="89"/>
      <c r="BF746" s="89"/>
    </row>
    <row r="747" spans="1:58" s="14" customFormat="1" ht="14.1" customHeight="1">
      <c r="A747" s="412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  <c r="AA747" s="89"/>
      <c r="AB747" s="89"/>
      <c r="AC747" s="89"/>
      <c r="AD747" s="89"/>
      <c r="AE747" s="89"/>
      <c r="AF747" s="89"/>
      <c r="AG747" s="89"/>
      <c r="AH747" s="89"/>
      <c r="AI747" s="89"/>
      <c r="AJ747" s="89"/>
      <c r="AK747" s="89"/>
      <c r="AL747" s="89"/>
      <c r="AM747" s="89"/>
      <c r="AN747" s="89"/>
      <c r="AO747" s="89"/>
      <c r="AP747" s="89"/>
      <c r="AQ747" s="89"/>
      <c r="AR747" s="89"/>
      <c r="AS747" s="89"/>
      <c r="AT747" s="89"/>
      <c r="AU747" s="89"/>
      <c r="AV747" s="89"/>
      <c r="AW747" s="89"/>
      <c r="AX747" s="89"/>
      <c r="AY747" s="89"/>
      <c r="AZ747" s="89"/>
      <c r="BA747" s="89"/>
      <c r="BB747" s="89"/>
      <c r="BC747" s="89"/>
      <c r="BD747" s="89"/>
      <c r="BE747" s="89"/>
      <c r="BF747" s="89"/>
    </row>
    <row r="748" spans="1:58" s="14" customFormat="1" ht="14.1" customHeight="1">
      <c r="A748" s="412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  <c r="AA748" s="89"/>
      <c r="AB748" s="89"/>
      <c r="AC748" s="89"/>
      <c r="AD748" s="89"/>
      <c r="AE748" s="89"/>
      <c r="AF748" s="89"/>
      <c r="AG748" s="89"/>
      <c r="AH748" s="89"/>
      <c r="AI748" s="89"/>
      <c r="AJ748" s="89"/>
      <c r="AK748" s="89"/>
      <c r="AL748" s="89"/>
      <c r="AM748" s="89"/>
      <c r="AN748" s="89"/>
      <c r="AO748" s="89"/>
      <c r="AP748" s="89"/>
      <c r="AQ748" s="89"/>
      <c r="AR748" s="89"/>
      <c r="AS748" s="89"/>
      <c r="AT748" s="89"/>
      <c r="AU748" s="89"/>
      <c r="AV748" s="89"/>
      <c r="AW748" s="89"/>
      <c r="AX748" s="89"/>
      <c r="AY748" s="89"/>
      <c r="AZ748" s="89"/>
      <c r="BA748" s="89"/>
      <c r="BB748" s="89"/>
      <c r="BC748" s="89"/>
      <c r="BD748" s="89"/>
      <c r="BE748" s="89"/>
      <c r="BF748" s="89"/>
    </row>
    <row r="749" spans="1:58" s="14" customFormat="1" ht="14.1" customHeight="1">
      <c r="A749" s="412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  <c r="AA749" s="89"/>
      <c r="AB749" s="89"/>
      <c r="AC749" s="89"/>
      <c r="AD749" s="89"/>
      <c r="AE749" s="89"/>
      <c r="AF749" s="89"/>
      <c r="AG749" s="89"/>
      <c r="AH749" s="89"/>
      <c r="AI749" s="89"/>
      <c r="AJ749" s="89"/>
      <c r="AK749" s="89"/>
      <c r="AL749" s="89"/>
      <c r="AM749" s="89"/>
      <c r="AN749" s="89"/>
      <c r="AO749" s="89"/>
      <c r="AP749" s="89"/>
      <c r="AQ749" s="89"/>
      <c r="AR749" s="89"/>
      <c r="AS749" s="89"/>
      <c r="AT749" s="89"/>
      <c r="AU749" s="89"/>
      <c r="AV749" s="89"/>
      <c r="AW749" s="89"/>
      <c r="AX749" s="89"/>
      <c r="AY749" s="89"/>
      <c r="AZ749" s="89"/>
      <c r="BA749" s="89"/>
      <c r="BB749" s="89"/>
      <c r="BC749" s="89"/>
      <c r="BD749" s="89"/>
      <c r="BE749" s="89"/>
      <c r="BF749" s="89"/>
    </row>
    <row r="750" spans="1:58" s="14" customFormat="1" ht="14.1" customHeight="1">
      <c r="A750" s="412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  <c r="AA750" s="89"/>
      <c r="AB750" s="89"/>
      <c r="AC750" s="89"/>
      <c r="AD750" s="89"/>
      <c r="AE750" s="89"/>
      <c r="AF750" s="89"/>
      <c r="AG750" s="89"/>
      <c r="AH750" s="89"/>
      <c r="AI750" s="89"/>
      <c r="AJ750" s="89"/>
      <c r="AK750" s="89"/>
      <c r="AL750" s="89"/>
      <c r="AM750" s="89"/>
      <c r="AN750" s="89"/>
      <c r="AO750" s="89"/>
      <c r="AP750" s="89"/>
      <c r="AQ750" s="89"/>
      <c r="AR750" s="89"/>
      <c r="AS750" s="89"/>
      <c r="AT750" s="89"/>
      <c r="AU750" s="89"/>
      <c r="AV750" s="89"/>
      <c r="AW750" s="89"/>
      <c r="AX750" s="89"/>
      <c r="AY750" s="89"/>
      <c r="AZ750" s="89"/>
      <c r="BA750" s="89"/>
      <c r="BB750" s="89"/>
      <c r="BC750" s="89"/>
      <c r="BD750" s="89"/>
      <c r="BE750" s="89"/>
      <c r="BF750" s="89"/>
    </row>
    <row r="751" spans="1:58" s="14" customFormat="1" ht="14.1" customHeight="1">
      <c r="A751" s="412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  <c r="AA751" s="89"/>
      <c r="AB751" s="89"/>
      <c r="AC751" s="89"/>
      <c r="AD751" s="89"/>
      <c r="AE751" s="89"/>
      <c r="AF751" s="89"/>
      <c r="AG751" s="89"/>
      <c r="AH751" s="89"/>
      <c r="AI751" s="89"/>
      <c r="AJ751" s="89"/>
      <c r="AK751" s="89"/>
      <c r="AL751" s="89"/>
      <c r="AM751" s="89"/>
      <c r="AN751" s="89"/>
      <c r="AO751" s="89"/>
      <c r="AP751" s="89"/>
      <c r="AQ751" s="89"/>
      <c r="AR751" s="89"/>
      <c r="AS751" s="89"/>
      <c r="AT751" s="89"/>
      <c r="AU751" s="89"/>
      <c r="AV751" s="89"/>
      <c r="AW751" s="89"/>
      <c r="AX751" s="89"/>
      <c r="AY751" s="89"/>
      <c r="AZ751" s="89"/>
      <c r="BA751" s="89"/>
      <c r="BB751" s="89"/>
      <c r="BC751" s="89"/>
      <c r="BD751" s="89"/>
      <c r="BE751" s="89"/>
      <c r="BF751" s="89"/>
    </row>
    <row r="752" spans="1:58" s="14" customFormat="1" ht="14.1" customHeight="1">
      <c r="A752" s="412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  <c r="AA752" s="89"/>
      <c r="AB752" s="89"/>
      <c r="AC752" s="89"/>
      <c r="AD752" s="89"/>
      <c r="AE752" s="89"/>
      <c r="AF752" s="89"/>
      <c r="AG752" s="89"/>
      <c r="AH752" s="89"/>
      <c r="AI752" s="89"/>
      <c r="AJ752" s="89"/>
      <c r="AK752" s="89"/>
      <c r="AL752" s="89"/>
      <c r="AM752" s="89"/>
      <c r="AN752" s="89"/>
      <c r="AO752" s="89"/>
      <c r="AP752" s="89"/>
      <c r="AQ752" s="89"/>
      <c r="AR752" s="89"/>
      <c r="AS752" s="89"/>
      <c r="AT752" s="89"/>
      <c r="AU752" s="89"/>
      <c r="AV752" s="89"/>
      <c r="AW752" s="89"/>
      <c r="AX752" s="89"/>
      <c r="AY752" s="89"/>
      <c r="AZ752" s="89"/>
      <c r="BA752" s="89"/>
      <c r="BB752" s="89"/>
      <c r="BC752" s="89"/>
      <c r="BD752" s="89"/>
      <c r="BE752" s="89"/>
      <c r="BF752" s="89"/>
    </row>
    <row r="753" spans="1:58" s="14" customFormat="1" ht="14.1" customHeight="1">
      <c r="A753" s="412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  <c r="AA753" s="89"/>
      <c r="AB753" s="89"/>
      <c r="AC753" s="89"/>
      <c r="AD753" s="89"/>
      <c r="AE753" s="89"/>
      <c r="AF753" s="89"/>
      <c r="AG753" s="89"/>
      <c r="AH753" s="89"/>
      <c r="AI753" s="89"/>
      <c r="AJ753" s="89"/>
      <c r="AK753" s="89"/>
      <c r="AL753" s="89"/>
      <c r="AM753" s="89"/>
      <c r="AN753" s="89"/>
      <c r="AO753" s="89"/>
      <c r="AP753" s="89"/>
      <c r="AQ753" s="89"/>
      <c r="AR753" s="89"/>
      <c r="AS753" s="89"/>
      <c r="AT753" s="89"/>
      <c r="AU753" s="89"/>
      <c r="AV753" s="89"/>
      <c r="AW753" s="89"/>
      <c r="AX753" s="89"/>
      <c r="AY753" s="89"/>
      <c r="AZ753" s="89"/>
      <c r="BA753" s="89"/>
      <c r="BB753" s="89"/>
      <c r="BC753" s="89"/>
      <c r="BD753" s="89"/>
      <c r="BE753" s="89"/>
      <c r="BF753" s="89"/>
    </row>
    <row r="754" spans="1:58" s="14" customFormat="1" ht="14.1" customHeight="1">
      <c r="A754" s="412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  <c r="AA754" s="89"/>
      <c r="AB754" s="89"/>
      <c r="AC754" s="89"/>
      <c r="AD754" s="89"/>
      <c r="AE754" s="89"/>
      <c r="AF754" s="89"/>
      <c r="AG754" s="89"/>
      <c r="AH754" s="89"/>
      <c r="AI754" s="89"/>
      <c r="AJ754" s="89"/>
      <c r="AK754" s="89"/>
      <c r="AL754" s="89"/>
      <c r="AM754" s="89"/>
      <c r="AN754" s="89"/>
      <c r="AO754" s="89"/>
      <c r="AP754" s="89"/>
      <c r="AQ754" s="89"/>
      <c r="AR754" s="89"/>
      <c r="AS754" s="89"/>
      <c r="AT754" s="89"/>
      <c r="AU754" s="89"/>
      <c r="AV754" s="89"/>
      <c r="AW754" s="89"/>
      <c r="AX754" s="89"/>
      <c r="AY754" s="89"/>
      <c r="AZ754" s="89"/>
      <c r="BA754" s="89"/>
      <c r="BB754" s="89"/>
      <c r="BC754" s="89"/>
      <c r="BD754" s="89"/>
      <c r="BE754" s="89"/>
      <c r="BF754" s="89"/>
    </row>
    <row r="755" spans="1:58" s="14" customFormat="1" ht="14.1" customHeight="1">
      <c r="A755" s="412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  <c r="AA755" s="89"/>
      <c r="AB755" s="89"/>
      <c r="AC755" s="89"/>
      <c r="AD755" s="89"/>
      <c r="AE755" s="89"/>
      <c r="AF755" s="89"/>
      <c r="AG755" s="89"/>
      <c r="AH755" s="89"/>
      <c r="AI755" s="89"/>
      <c r="AJ755" s="89"/>
      <c r="AK755" s="89"/>
      <c r="AL755" s="89"/>
      <c r="AM755" s="89"/>
      <c r="AN755" s="89"/>
      <c r="AO755" s="89"/>
      <c r="AP755" s="89"/>
      <c r="AQ755" s="89"/>
      <c r="AR755" s="89"/>
      <c r="AS755" s="89"/>
      <c r="AT755" s="89"/>
      <c r="AU755" s="89"/>
      <c r="AV755" s="89"/>
      <c r="AW755" s="89"/>
      <c r="AX755" s="89"/>
      <c r="AY755" s="89"/>
      <c r="AZ755" s="89"/>
      <c r="BA755" s="89"/>
      <c r="BB755" s="89"/>
      <c r="BC755" s="89"/>
      <c r="BD755" s="89"/>
      <c r="BE755" s="89"/>
      <c r="BF755" s="89"/>
    </row>
    <row r="756" spans="1:58" s="14" customFormat="1" ht="14.1" customHeight="1">
      <c r="A756" s="412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  <c r="AA756" s="89"/>
      <c r="AB756" s="89"/>
      <c r="AC756" s="89"/>
      <c r="AD756" s="89"/>
      <c r="AE756" s="89"/>
      <c r="AF756" s="89"/>
      <c r="AG756" s="89"/>
      <c r="AH756" s="89"/>
      <c r="AI756" s="89"/>
      <c r="AJ756" s="89"/>
      <c r="AK756" s="89"/>
      <c r="AL756" s="89"/>
      <c r="AM756" s="89"/>
      <c r="AN756" s="89"/>
      <c r="AO756" s="89"/>
      <c r="AP756" s="89"/>
      <c r="AQ756" s="89"/>
      <c r="AR756" s="89"/>
      <c r="AS756" s="89"/>
      <c r="AT756" s="89"/>
      <c r="AU756" s="89"/>
      <c r="AV756" s="89"/>
      <c r="AW756" s="89"/>
      <c r="AX756" s="89"/>
      <c r="AY756" s="89"/>
      <c r="AZ756" s="89"/>
      <c r="BA756" s="89"/>
      <c r="BB756" s="89"/>
      <c r="BC756" s="89"/>
      <c r="BD756" s="89"/>
      <c r="BE756" s="89"/>
      <c r="BF756" s="89"/>
    </row>
    <row r="757" spans="1:58" s="14" customFormat="1" ht="14.1" customHeight="1">
      <c r="A757" s="412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  <c r="AA757" s="89"/>
      <c r="AB757" s="89"/>
      <c r="AC757" s="89"/>
      <c r="AD757" s="89"/>
      <c r="AE757" s="89"/>
      <c r="AF757" s="89"/>
      <c r="AG757" s="89"/>
      <c r="AH757" s="89"/>
      <c r="AI757" s="89"/>
      <c r="AJ757" s="89"/>
      <c r="AK757" s="89"/>
      <c r="AL757" s="89"/>
      <c r="AM757" s="89"/>
      <c r="AN757" s="89"/>
      <c r="AO757" s="89"/>
      <c r="AP757" s="89"/>
      <c r="AQ757" s="89"/>
      <c r="AR757" s="89"/>
      <c r="AS757" s="89"/>
      <c r="AT757" s="89"/>
      <c r="AU757" s="89"/>
      <c r="AV757" s="89"/>
      <c r="AW757" s="89"/>
      <c r="AX757" s="89"/>
      <c r="AY757" s="89"/>
      <c r="AZ757" s="89"/>
      <c r="BA757" s="89"/>
      <c r="BB757" s="89"/>
      <c r="BC757" s="89"/>
      <c r="BD757" s="89"/>
      <c r="BE757" s="89"/>
      <c r="BF757" s="89"/>
    </row>
    <row r="758" spans="1:58" s="14" customFormat="1" ht="14.1" customHeight="1">
      <c r="A758" s="412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  <c r="AA758" s="89"/>
      <c r="AB758" s="89"/>
      <c r="AC758" s="89"/>
      <c r="AD758" s="89"/>
      <c r="AE758" s="89"/>
      <c r="AF758" s="89"/>
      <c r="AG758" s="89"/>
      <c r="AH758" s="89"/>
      <c r="AI758" s="89"/>
      <c r="AJ758" s="89"/>
      <c r="AK758" s="89"/>
      <c r="AL758" s="89"/>
      <c r="AM758" s="89"/>
      <c r="AN758" s="89"/>
      <c r="AO758" s="89"/>
      <c r="AP758" s="89"/>
      <c r="AQ758" s="89"/>
      <c r="AR758" s="89"/>
      <c r="AS758" s="89"/>
      <c r="AT758" s="89"/>
      <c r="AU758" s="89"/>
      <c r="AV758" s="89"/>
      <c r="AW758" s="89"/>
      <c r="AX758" s="89"/>
      <c r="AY758" s="89"/>
      <c r="AZ758" s="89"/>
      <c r="BA758" s="89"/>
      <c r="BB758" s="89"/>
      <c r="BC758" s="89"/>
      <c r="BD758" s="89"/>
      <c r="BE758" s="89"/>
      <c r="BF758" s="89"/>
    </row>
    <row r="759" spans="1:58" s="14" customFormat="1" ht="14.1" customHeight="1">
      <c r="A759" s="412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  <c r="AA759" s="89"/>
      <c r="AB759" s="89"/>
      <c r="AC759" s="89"/>
      <c r="AD759" s="89"/>
      <c r="AE759" s="89"/>
      <c r="AF759" s="89"/>
      <c r="AG759" s="89"/>
      <c r="AH759" s="89"/>
      <c r="AI759" s="89"/>
      <c r="AJ759" s="89"/>
      <c r="AK759" s="89"/>
      <c r="AL759" s="89"/>
      <c r="AM759" s="89"/>
      <c r="AN759" s="89"/>
      <c r="AO759" s="89"/>
      <c r="AP759" s="89"/>
      <c r="AQ759" s="89"/>
      <c r="AR759" s="89"/>
      <c r="AS759" s="89"/>
      <c r="AT759" s="89"/>
      <c r="AU759" s="89"/>
      <c r="AV759" s="89"/>
      <c r="AW759" s="89"/>
      <c r="AX759" s="89"/>
      <c r="AY759" s="89"/>
      <c r="AZ759" s="89"/>
      <c r="BA759" s="89"/>
      <c r="BB759" s="89"/>
      <c r="BC759" s="89"/>
      <c r="BD759" s="89"/>
      <c r="BE759" s="89"/>
      <c r="BF759" s="89"/>
    </row>
    <row r="760" spans="1:58" s="14" customFormat="1" ht="14.1" customHeight="1">
      <c r="A760" s="412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  <c r="AA760" s="89"/>
      <c r="AB760" s="89"/>
      <c r="AC760" s="89"/>
      <c r="AD760" s="89"/>
      <c r="AE760" s="89"/>
      <c r="AF760" s="89"/>
      <c r="AG760" s="89"/>
      <c r="AH760" s="89"/>
      <c r="AI760" s="89"/>
      <c r="AJ760" s="89"/>
      <c r="AK760" s="89"/>
      <c r="AL760" s="89"/>
      <c r="AM760" s="89"/>
      <c r="AN760" s="89"/>
      <c r="AO760" s="89"/>
      <c r="AP760" s="89"/>
      <c r="AQ760" s="89"/>
      <c r="AR760" s="89"/>
      <c r="AS760" s="89"/>
      <c r="AT760" s="89"/>
      <c r="AU760" s="89"/>
      <c r="AV760" s="89"/>
      <c r="AW760" s="89"/>
      <c r="AX760" s="89"/>
      <c r="AY760" s="89"/>
      <c r="AZ760" s="89"/>
      <c r="BA760" s="89"/>
      <c r="BB760" s="89"/>
      <c r="BC760" s="89"/>
      <c r="BD760" s="89"/>
      <c r="BE760" s="89"/>
      <c r="BF760" s="89"/>
    </row>
    <row r="761" spans="1:58" s="14" customFormat="1" ht="14.1" customHeight="1">
      <c r="A761" s="412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  <c r="AA761" s="89"/>
      <c r="AB761" s="89"/>
      <c r="AC761" s="89"/>
      <c r="AD761" s="89"/>
      <c r="AE761" s="89"/>
      <c r="AF761" s="89"/>
      <c r="AG761" s="89"/>
      <c r="AH761" s="89"/>
      <c r="AI761" s="89"/>
      <c r="AJ761" s="89"/>
      <c r="AK761" s="89"/>
      <c r="AL761" s="89"/>
      <c r="AM761" s="89"/>
      <c r="AN761" s="89"/>
      <c r="AO761" s="89"/>
      <c r="AP761" s="89"/>
      <c r="AQ761" s="89"/>
      <c r="AR761" s="89"/>
      <c r="AS761" s="89"/>
      <c r="AT761" s="89"/>
      <c r="AU761" s="89"/>
      <c r="AV761" s="89"/>
      <c r="AW761" s="89"/>
      <c r="AX761" s="89"/>
      <c r="AY761" s="89"/>
      <c r="AZ761" s="89"/>
      <c r="BA761" s="89"/>
      <c r="BB761" s="89"/>
      <c r="BC761" s="89"/>
      <c r="BD761" s="89"/>
      <c r="BE761" s="89"/>
      <c r="BF761" s="89"/>
    </row>
    <row r="762" spans="1:58" s="14" customFormat="1" ht="14.1" customHeight="1">
      <c r="A762" s="412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  <c r="AA762" s="89"/>
      <c r="AB762" s="89"/>
      <c r="AC762" s="89"/>
      <c r="AD762" s="89"/>
      <c r="AE762" s="89"/>
      <c r="AF762" s="89"/>
      <c r="AG762" s="89"/>
      <c r="AH762" s="89"/>
      <c r="AI762" s="89"/>
      <c r="AJ762" s="89"/>
      <c r="AK762" s="89"/>
      <c r="AL762" s="89"/>
      <c r="AM762" s="89"/>
      <c r="AN762" s="89"/>
      <c r="AO762" s="89"/>
      <c r="AP762" s="89"/>
      <c r="AQ762" s="89"/>
      <c r="AR762" s="89"/>
      <c r="AS762" s="89"/>
      <c r="AT762" s="89"/>
      <c r="AU762" s="89"/>
      <c r="AV762" s="89"/>
      <c r="AW762" s="89"/>
      <c r="AX762" s="89"/>
      <c r="AY762" s="89"/>
      <c r="AZ762" s="89"/>
      <c r="BA762" s="89"/>
      <c r="BB762" s="89"/>
      <c r="BC762" s="89"/>
      <c r="BD762" s="89"/>
      <c r="BE762" s="89"/>
      <c r="BF762" s="89"/>
    </row>
    <row r="763" spans="1:58" s="14" customFormat="1" ht="14.1" customHeight="1">
      <c r="A763" s="412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  <c r="AA763" s="89"/>
      <c r="AB763" s="89"/>
      <c r="AC763" s="89"/>
      <c r="AD763" s="89"/>
      <c r="AE763" s="89"/>
      <c r="AF763" s="89"/>
      <c r="AG763" s="89"/>
      <c r="AH763" s="89"/>
      <c r="AI763" s="89"/>
      <c r="AJ763" s="89"/>
      <c r="AK763" s="89"/>
      <c r="AL763" s="89"/>
      <c r="AM763" s="89"/>
      <c r="AN763" s="89"/>
      <c r="AO763" s="89"/>
      <c r="AP763" s="89"/>
      <c r="AQ763" s="89"/>
      <c r="AR763" s="89"/>
      <c r="AS763" s="89"/>
      <c r="AT763" s="89"/>
      <c r="AU763" s="89"/>
      <c r="AV763" s="89"/>
      <c r="AW763" s="89"/>
      <c r="AX763" s="89"/>
      <c r="AY763" s="89"/>
      <c r="AZ763" s="89"/>
      <c r="BA763" s="89"/>
      <c r="BB763" s="89"/>
      <c r="BC763" s="89"/>
      <c r="BD763" s="89"/>
      <c r="BE763" s="89"/>
      <c r="BF763" s="89"/>
    </row>
    <row r="764" spans="1:58" s="14" customFormat="1" ht="14.1" customHeight="1">
      <c r="A764" s="412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  <c r="AA764" s="89"/>
      <c r="AB764" s="89"/>
      <c r="AC764" s="89"/>
      <c r="AD764" s="89"/>
      <c r="AE764" s="89"/>
      <c r="AF764" s="89"/>
      <c r="AG764" s="89"/>
      <c r="AH764" s="89"/>
      <c r="AI764" s="89"/>
      <c r="AJ764" s="89"/>
      <c r="AK764" s="89"/>
      <c r="AL764" s="89"/>
      <c r="AM764" s="89"/>
      <c r="AN764" s="89"/>
      <c r="AO764" s="89"/>
      <c r="AP764" s="89"/>
      <c r="AQ764" s="89"/>
      <c r="AR764" s="89"/>
      <c r="AS764" s="89"/>
      <c r="AT764" s="89"/>
      <c r="AU764" s="89"/>
      <c r="AV764" s="89"/>
      <c r="AW764" s="89"/>
      <c r="AX764" s="89"/>
      <c r="AY764" s="89"/>
      <c r="AZ764" s="89"/>
      <c r="BA764" s="89"/>
      <c r="BB764" s="89"/>
      <c r="BC764" s="89"/>
      <c r="BD764" s="89"/>
      <c r="BE764" s="89"/>
      <c r="BF764" s="89"/>
    </row>
    <row r="765" spans="1:58" s="14" customFormat="1" ht="14.1" customHeight="1">
      <c r="A765" s="412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  <c r="AA765" s="89"/>
      <c r="AB765" s="89"/>
      <c r="AC765" s="89"/>
      <c r="AD765" s="89"/>
      <c r="AE765" s="89"/>
      <c r="AF765" s="89"/>
      <c r="AG765" s="89"/>
      <c r="AH765" s="89"/>
      <c r="AI765" s="89"/>
      <c r="AJ765" s="89"/>
      <c r="AK765" s="89"/>
      <c r="AL765" s="89"/>
      <c r="AM765" s="89"/>
      <c r="AN765" s="89"/>
      <c r="AO765" s="89"/>
      <c r="AP765" s="89"/>
      <c r="AQ765" s="89"/>
      <c r="AR765" s="89"/>
      <c r="AS765" s="89"/>
      <c r="AT765" s="89"/>
      <c r="AU765" s="89"/>
      <c r="AV765" s="89"/>
      <c r="AW765" s="89"/>
      <c r="AX765" s="89"/>
      <c r="AY765" s="89"/>
      <c r="AZ765" s="89"/>
      <c r="BA765" s="89"/>
      <c r="BB765" s="89"/>
      <c r="BC765" s="89"/>
      <c r="BD765" s="89"/>
      <c r="BE765" s="89"/>
      <c r="BF765" s="89"/>
    </row>
    <row r="766" spans="1:58" s="14" customFormat="1" ht="14.1" customHeight="1">
      <c r="A766" s="412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  <c r="AA766" s="89"/>
      <c r="AB766" s="89"/>
      <c r="AC766" s="89"/>
      <c r="AD766" s="89"/>
      <c r="AE766" s="89"/>
      <c r="AF766" s="89"/>
      <c r="AG766" s="89"/>
      <c r="AH766" s="89"/>
      <c r="AI766" s="89"/>
      <c r="AJ766" s="89"/>
      <c r="AK766" s="89"/>
      <c r="AL766" s="89"/>
      <c r="AM766" s="89"/>
      <c r="AN766" s="89"/>
      <c r="AO766" s="89"/>
      <c r="AP766" s="89"/>
      <c r="AQ766" s="89"/>
      <c r="AR766" s="89"/>
      <c r="AS766" s="89"/>
      <c r="AT766" s="89"/>
      <c r="AU766" s="89"/>
      <c r="AV766" s="89"/>
      <c r="AW766" s="89"/>
      <c r="AX766" s="89"/>
      <c r="AY766" s="89"/>
      <c r="AZ766" s="89"/>
      <c r="BA766" s="89"/>
      <c r="BB766" s="89"/>
      <c r="BC766" s="89"/>
      <c r="BD766" s="89"/>
      <c r="BE766" s="89"/>
      <c r="BF766" s="89"/>
    </row>
    <row r="767" spans="1:58" s="14" customFormat="1" ht="14.1" customHeight="1">
      <c r="A767" s="412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  <c r="AA767" s="89"/>
      <c r="AB767" s="89"/>
      <c r="AC767" s="89"/>
      <c r="AD767" s="89"/>
      <c r="AE767" s="89"/>
      <c r="AF767" s="89"/>
      <c r="AG767" s="89"/>
      <c r="AH767" s="89"/>
      <c r="AI767" s="89"/>
      <c r="AJ767" s="89"/>
      <c r="AK767" s="89"/>
      <c r="AL767" s="89"/>
      <c r="AM767" s="89"/>
      <c r="AN767" s="89"/>
      <c r="AO767" s="89"/>
      <c r="AP767" s="89"/>
      <c r="AQ767" s="89"/>
      <c r="AR767" s="89"/>
      <c r="AS767" s="89"/>
      <c r="AT767" s="89"/>
      <c r="AU767" s="89"/>
      <c r="AV767" s="89"/>
      <c r="AW767" s="89"/>
      <c r="AX767" s="89"/>
      <c r="AY767" s="89"/>
      <c r="AZ767" s="89"/>
      <c r="BA767" s="89"/>
      <c r="BB767" s="89"/>
      <c r="BC767" s="89"/>
      <c r="BD767" s="89"/>
      <c r="BE767" s="89"/>
      <c r="BF767" s="89"/>
    </row>
    <row r="768" spans="1:58" s="14" customFormat="1" ht="14.1" customHeight="1">
      <c r="A768" s="412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  <c r="AA768" s="89"/>
      <c r="AB768" s="89"/>
      <c r="AC768" s="89"/>
      <c r="AD768" s="89"/>
      <c r="AE768" s="89"/>
      <c r="AF768" s="89"/>
      <c r="AG768" s="89"/>
      <c r="AH768" s="89"/>
      <c r="AI768" s="89"/>
      <c r="AJ768" s="89"/>
      <c r="AK768" s="89"/>
      <c r="AL768" s="89"/>
      <c r="AM768" s="89"/>
      <c r="AN768" s="89"/>
      <c r="AO768" s="89"/>
      <c r="AP768" s="89"/>
      <c r="AQ768" s="89"/>
      <c r="AR768" s="89"/>
      <c r="AS768" s="89"/>
      <c r="AT768" s="89"/>
      <c r="AU768" s="89"/>
      <c r="AV768" s="89"/>
      <c r="AW768" s="89"/>
      <c r="AX768" s="89"/>
      <c r="AY768" s="89"/>
      <c r="AZ768" s="89"/>
      <c r="BA768" s="89"/>
      <c r="BB768" s="89"/>
      <c r="BC768" s="89"/>
      <c r="BD768" s="89"/>
      <c r="BE768" s="89"/>
      <c r="BF768" s="89"/>
    </row>
    <row r="769" spans="1:58" s="14" customFormat="1" ht="14.1" customHeight="1">
      <c r="A769" s="412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  <c r="AA769" s="89"/>
      <c r="AB769" s="89"/>
      <c r="AC769" s="89"/>
      <c r="AD769" s="89"/>
      <c r="AE769" s="89"/>
      <c r="AF769" s="89"/>
      <c r="AG769" s="89"/>
      <c r="AH769" s="89"/>
      <c r="AI769" s="89"/>
      <c r="AJ769" s="89"/>
      <c r="AK769" s="89"/>
      <c r="AL769" s="89"/>
      <c r="AM769" s="89"/>
      <c r="AN769" s="89"/>
      <c r="AO769" s="89"/>
      <c r="AP769" s="89"/>
      <c r="AQ769" s="89"/>
      <c r="AR769" s="89"/>
      <c r="AS769" s="89"/>
      <c r="AT769" s="89"/>
      <c r="AU769" s="89"/>
      <c r="AV769" s="89"/>
      <c r="AW769" s="89"/>
      <c r="AX769" s="89"/>
      <c r="AY769" s="89"/>
      <c r="AZ769" s="89"/>
      <c r="BA769" s="89"/>
      <c r="BB769" s="89"/>
      <c r="BC769" s="89"/>
      <c r="BD769" s="89"/>
      <c r="BE769" s="89"/>
      <c r="BF769" s="89"/>
    </row>
    <row r="770" spans="1:58" s="14" customFormat="1" ht="14.1" customHeight="1">
      <c r="A770" s="412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  <c r="AA770" s="89"/>
      <c r="AB770" s="89"/>
      <c r="AC770" s="89"/>
      <c r="AD770" s="89"/>
      <c r="AE770" s="89"/>
      <c r="AF770" s="89"/>
      <c r="AG770" s="89"/>
      <c r="AH770" s="89"/>
      <c r="AI770" s="89"/>
      <c r="AJ770" s="89"/>
      <c r="AK770" s="89"/>
      <c r="AL770" s="89"/>
      <c r="AM770" s="89"/>
      <c r="AN770" s="89"/>
      <c r="AO770" s="89"/>
      <c r="AP770" s="89"/>
      <c r="AQ770" s="89"/>
      <c r="AR770" s="89"/>
      <c r="AS770" s="89"/>
      <c r="AT770" s="89"/>
      <c r="AU770" s="89"/>
      <c r="AV770" s="89"/>
      <c r="AW770" s="89"/>
      <c r="AX770" s="89"/>
      <c r="AY770" s="89"/>
      <c r="AZ770" s="89"/>
      <c r="BA770" s="89"/>
      <c r="BB770" s="89"/>
      <c r="BC770" s="89"/>
      <c r="BD770" s="89"/>
      <c r="BE770" s="89"/>
      <c r="BF770" s="89"/>
    </row>
    <row r="771" spans="1:58" s="14" customFormat="1" ht="14.1" customHeight="1">
      <c r="A771" s="412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  <c r="AA771" s="89"/>
      <c r="AB771" s="89"/>
      <c r="AC771" s="89"/>
      <c r="AD771" s="89"/>
      <c r="AE771" s="89"/>
      <c r="AF771" s="89"/>
      <c r="AG771" s="89"/>
      <c r="AH771" s="89"/>
      <c r="AI771" s="89"/>
      <c r="AJ771" s="89"/>
      <c r="AK771" s="89"/>
      <c r="AL771" s="89"/>
      <c r="AM771" s="89"/>
      <c r="AN771" s="89"/>
      <c r="AO771" s="89"/>
      <c r="AP771" s="89"/>
      <c r="AQ771" s="89"/>
      <c r="AR771" s="89"/>
      <c r="AS771" s="89"/>
      <c r="AT771" s="89"/>
      <c r="AU771" s="89"/>
      <c r="AV771" s="89"/>
      <c r="AW771" s="89"/>
      <c r="AX771" s="89"/>
      <c r="AY771" s="89"/>
      <c r="AZ771" s="89"/>
      <c r="BA771" s="89"/>
      <c r="BB771" s="89"/>
      <c r="BC771" s="89"/>
      <c r="BD771" s="89"/>
      <c r="BE771" s="89"/>
      <c r="BF771" s="89"/>
    </row>
    <row r="772" spans="1:58" s="14" customFormat="1" ht="14.1" customHeight="1">
      <c r="A772" s="412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  <c r="AA772" s="89"/>
      <c r="AB772" s="89"/>
      <c r="AC772" s="89"/>
      <c r="AD772" s="89"/>
      <c r="AE772" s="89"/>
      <c r="AF772" s="89"/>
      <c r="AG772" s="89"/>
      <c r="AH772" s="89"/>
      <c r="AI772" s="89"/>
      <c r="AJ772" s="89"/>
      <c r="AK772" s="89"/>
      <c r="AL772" s="89"/>
      <c r="AM772" s="89"/>
      <c r="AN772" s="89"/>
      <c r="AO772" s="89"/>
      <c r="AP772" s="89"/>
      <c r="AQ772" s="89"/>
      <c r="AR772" s="89"/>
      <c r="AS772" s="89"/>
      <c r="AT772" s="89"/>
      <c r="AU772" s="89"/>
      <c r="AV772" s="89"/>
      <c r="AW772" s="89"/>
      <c r="AX772" s="89"/>
      <c r="AY772" s="89"/>
      <c r="AZ772" s="89"/>
      <c r="BA772" s="89"/>
      <c r="BB772" s="89"/>
      <c r="BC772" s="89"/>
      <c r="BD772" s="89"/>
      <c r="BE772" s="89"/>
      <c r="BF772" s="89"/>
    </row>
    <row r="773" spans="1:58" s="14" customFormat="1" ht="14.1" customHeight="1">
      <c r="A773" s="412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  <c r="AA773" s="89"/>
      <c r="AB773" s="89"/>
      <c r="AC773" s="89"/>
      <c r="AD773" s="89"/>
      <c r="AE773" s="89"/>
      <c r="AF773" s="89"/>
      <c r="AG773" s="89"/>
      <c r="AH773" s="89"/>
      <c r="AI773" s="89"/>
      <c r="AJ773" s="89"/>
      <c r="AK773" s="89"/>
      <c r="AL773" s="89"/>
      <c r="AM773" s="89"/>
      <c r="AN773" s="89"/>
      <c r="AO773" s="89"/>
      <c r="AP773" s="89"/>
      <c r="AQ773" s="89"/>
      <c r="AR773" s="89"/>
      <c r="AS773" s="89"/>
      <c r="AT773" s="89"/>
      <c r="AU773" s="89"/>
      <c r="AV773" s="89"/>
      <c r="AW773" s="89"/>
      <c r="AX773" s="89"/>
      <c r="AY773" s="89"/>
      <c r="AZ773" s="89"/>
      <c r="BA773" s="89"/>
      <c r="BB773" s="89"/>
      <c r="BC773" s="89"/>
      <c r="BD773" s="89"/>
      <c r="BE773" s="89"/>
      <c r="BF773" s="89"/>
    </row>
    <row r="774" spans="1:58" s="14" customFormat="1" ht="14.1" customHeight="1">
      <c r="A774" s="412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  <c r="AA774" s="89"/>
      <c r="AB774" s="89"/>
      <c r="AC774" s="89"/>
      <c r="AD774" s="89"/>
      <c r="AE774" s="89"/>
      <c r="AF774" s="89"/>
      <c r="AG774" s="89"/>
      <c r="AH774" s="89"/>
      <c r="AI774" s="89"/>
      <c r="AJ774" s="89"/>
      <c r="AK774" s="89"/>
      <c r="AL774" s="89"/>
      <c r="AM774" s="89"/>
      <c r="AN774" s="89"/>
      <c r="AO774" s="89"/>
      <c r="AP774" s="89"/>
      <c r="AQ774" s="89"/>
      <c r="AR774" s="89"/>
      <c r="AS774" s="89"/>
      <c r="AT774" s="89"/>
      <c r="AU774" s="89"/>
      <c r="AV774" s="89"/>
      <c r="AW774" s="89"/>
      <c r="AX774" s="89"/>
      <c r="AY774" s="89"/>
      <c r="AZ774" s="89"/>
      <c r="BA774" s="89"/>
      <c r="BB774" s="89"/>
      <c r="BC774" s="89"/>
      <c r="BD774" s="89"/>
      <c r="BE774" s="89"/>
      <c r="BF774" s="89"/>
    </row>
    <row r="775" spans="1:58" s="14" customFormat="1" ht="14.1" customHeight="1">
      <c r="A775" s="412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  <c r="AA775" s="89"/>
      <c r="AB775" s="89"/>
      <c r="AC775" s="89"/>
      <c r="AD775" s="89"/>
      <c r="AE775" s="89"/>
      <c r="AF775" s="89"/>
      <c r="AG775" s="89"/>
      <c r="AH775" s="89"/>
      <c r="AI775" s="89"/>
      <c r="AJ775" s="89"/>
      <c r="AK775" s="89"/>
      <c r="AL775" s="89"/>
      <c r="AM775" s="89"/>
      <c r="AN775" s="89"/>
      <c r="AO775" s="89"/>
      <c r="AP775" s="89"/>
      <c r="AQ775" s="89"/>
      <c r="AR775" s="89"/>
      <c r="AS775" s="89"/>
      <c r="AT775" s="89"/>
      <c r="AU775" s="89"/>
      <c r="AV775" s="89"/>
      <c r="AW775" s="89"/>
      <c r="AX775" s="89"/>
      <c r="AY775" s="89"/>
      <c r="AZ775" s="89"/>
      <c r="BA775" s="89"/>
      <c r="BB775" s="89"/>
      <c r="BC775" s="89"/>
      <c r="BD775" s="89"/>
      <c r="BE775" s="89"/>
      <c r="BF775" s="89"/>
    </row>
    <row r="776" spans="1:58" s="14" customFormat="1" ht="14.1" customHeight="1">
      <c r="A776" s="412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  <c r="AA776" s="89"/>
      <c r="AB776" s="89"/>
      <c r="AC776" s="89"/>
      <c r="AD776" s="89"/>
      <c r="AE776" s="89"/>
      <c r="AF776" s="89"/>
      <c r="AG776" s="89"/>
      <c r="AH776" s="89"/>
      <c r="AI776" s="89"/>
      <c r="AJ776" s="89"/>
      <c r="AK776" s="89"/>
      <c r="AL776" s="89"/>
      <c r="AM776" s="89"/>
      <c r="AN776" s="89"/>
      <c r="AO776" s="89"/>
      <c r="AP776" s="89"/>
      <c r="AQ776" s="89"/>
      <c r="AR776" s="89"/>
      <c r="AS776" s="89"/>
      <c r="AT776" s="89"/>
      <c r="AU776" s="89"/>
      <c r="AV776" s="89"/>
      <c r="AW776" s="89"/>
      <c r="AX776" s="89"/>
      <c r="AY776" s="89"/>
      <c r="AZ776" s="89"/>
      <c r="BA776" s="89"/>
      <c r="BB776" s="89"/>
      <c r="BC776" s="89"/>
      <c r="BD776" s="89"/>
      <c r="BE776" s="89"/>
      <c r="BF776" s="89"/>
    </row>
    <row r="777" spans="1:58" s="14" customFormat="1" ht="14.1" customHeight="1">
      <c r="A777" s="412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  <c r="AA777" s="89"/>
      <c r="AB777" s="89"/>
      <c r="AC777" s="89"/>
      <c r="AD777" s="89"/>
      <c r="AE777" s="89"/>
      <c r="AF777" s="89"/>
      <c r="AG777" s="89"/>
      <c r="AH777" s="89"/>
      <c r="AI777" s="89"/>
      <c r="AJ777" s="89"/>
      <c r="AK777" s="89"/>
      <c r="AL777" s="89"/>
      <c r="AM777" s="89"/>
      <c r="AN777" s="89"/>
      <c r="AO777" s="89"/>
      <c r="AP777" s="89"/>
      <c r="AQ777" s="89"/>
      <c r="AR777" s="89"/>
      <c r="AS777" s="89"/>
      <c r="AT777" s="89"/>
      <c r="AU777" s="89"/>
      <c r="AV777" s="89"/>
      <c r="AW777" s="89"/>
      <c r="AX777" s="89"/>
      <c r="AY777" s="89"/>
      <c r="AZ777" s="89"/>
      <c r="BA777" s="89"/>
      <c r="BB777" s="89"/>
      <c r="BC777" s="89"/>
      <c r="BD777" s="89"/>
      <c r="BE777" s="89"/>
      <c r="BF777" s="89"/>
    </row>
    <row r="778" spans="1:58" s="14" customFormat="1" ht="14.1" customHeight="1">
      <c r="A778" s="412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  <c r="AA778" s="89"/>
      <c r="AB778" s="89"/>
      <c r="AC778" s="89"/>
      <c r="AD778" s="89"/>
      <c r="AE778" s="89"/>
      <c r="AF778" s="89"/>
      <c r="AG778" s="89"/>
      <c r="AH778" s="89"/>
      <c r="AI778" s="89"/>
      <c r="AJ778" s="89"/>
      <c r="AK778" s="89"/>
      <c r="AL778" s="89"/>
      <c r="AM778" s="89"/>
      <c r="AN778" s="89"/>
      <c r="AO778" s="89"/>
      <c r="AP778" s="89"/>
      <c r="AQ778" s="89"/>
      <c r="AR778" s="89"/>
      <c r="AS778" s="89"/>
      <c r="AT778" s="89"/>
      <c r="AU778" s="89"/>
      <c r="AV778" s="89"/>
      <c r="AW778" s="89"/>
      <c r="AX778" s="89"/>
      <c r="AY778" s="89"/>
      <c r="AZ778" s="89"/>
      <c r="BA778" s="89"/>
      <c r="BB778" s="89"/>
      <c r="BC778" s="89"/>
      <c r="BD778" s="89"/>
      <c r="BE778" s="89"/>
      <c r="BF778" s="89"/>
    </row>
    <row r="779" spans="1:58" s="14" customFormat="1" ht="14.1" customHeight="1">
      <c r="A779" s="412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  <c r="AA779" s="89"/>
      <c r="AB779" s="89"/>
      <c r="AC779" s="89"/>
      <c r="AD779" s="89"/>
      <c r="AE779" s="89"/>
      <c r="AF779" s="89"/>
      <c r="AG779" s="89"/>
      <c r="AH779" s="89"/>
      <c r="AI779" s="89"/>
      <c r="AJ779" s="89"/>
      <c r="AK779" s="89"/>
      <c r="AL779" s="89"/>
      <c r="AM779" s="89"/>
      <c r="AN779" s="89"/>
      <c r="AO779" s="89"/>
      <c r="AP779" s="89"/>
      <c r="AQ779" s="89"/>
      <c r="AR779" s="89"/>
      <c r="AS779" s="89"/>
      <c r="AT779" s="89"/>
      <c r="AU779" s="89"/>
      <c r="AV779" s="89"/>
      <c r="AW779" s="89"/>
      <c r="AX779" s="89"/>
      <c r="AY779" s="89"/>
      <c r="AZ779" s="89"/>
      <c r="BA779" s="89"/>
      <c r="BB779" s="89"/>
      <c r="BC779" s="89"/>
      <c r="BD779" s="89"/>
      <c r="BE779" s="89"/>
      <c r="BF779" s="89"/>
    </row>
    <row r="780" spans="1:58" s="14" customFormat="1" ht="14.1" customHeight="1">
      <c r="A780" s="412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  <c r="AA780" s="89"/>
      <c r="AB780" s="89"/>
      <c r="AC780" s="89"/>
      <c r="AD780" s="89"/>
      <c r="AE780" s="89"/>
      <c r="AF780" s="89"/>
      <c r="AG780" s="89"/>
      <c r="AH780" s="89"/>
      <c r="AI780" s="89"/>
      <c r="AJ780" s="89"/>
      <c r="AK780" s="89"/>
      <c r="AL780" s="89"/>
      <c r="AM780" s="89"/>
      <c r="AN780" s="89"/>
      <c r="AO780" s="89"/>
      <c r="AP780" s="89"/>
      <c r="AQ780" s="89"/>
      <c r="AR780" s="89"/>
      <c r="AS780" s="89"/>
      <c r="AT780" s="89"/>
      <c r="AU780" s="89"/>
      <c r="AV780" s="89"/>
      <c r="AW780" s="89"/>
      <c r="AX780" s="89"/>
      <c r="AY780" s="89"/>
      <c r="AZ780" s="89"/>
      <c r="BA780" s="89"/>
      <c r="BB780" s="89"/>
      <c r="BC780" s="89"/>
      <c r="BD780" s="89"/>
      <c r="BE780" s="89"/>
      <c r="BF780" s="89"/>
    </row>
    <row r="781" spans="1:58" s="14" customFormat="1" ht="14.1" customHeight="1">
      <c r="A781" s="412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  <c r="AA781" s="89"/>
      <c r="AB781" s="89"/>
      <c r="AC781" s="89"/>
      <c r="AD781" s="89"/>
      <c r="AE781" s="89"/>
      <c r="AF781" s="89"/>
      <c r="AG781" s="89"/>
      <c r="AH781" s="89"/>
      <c r="AI781" s="89"/>
      <c r="AJ781" s="89"/>
      <c r="AK781" s="89"/>
      <c r="AL781" s="89"/>
      <c r="AM781" s="89"/>
      <c r="AN781" s="89"/>
      <c r="AO781" s="89"/>
      <c r="AP781" s="89"/>
      <c r="AQ781" s="89"/>
      <c r="AR781" s="89"/>
      <c r="AS781" s="89"/>
      <c r="AT781" s="89"/>
      <c r="AU781" s="89"/>
      <c r="AV781" s="89"/>
      <c r="AW781" s="89"/>
      <c r="AX781" s="89"/>
      <c r="AY781" s="89"/>
      <c r="AZ781" s="89"/>
      <c r="BA781" s="89"/>
      <c r="BB781" s="89"/>
      <c r="BC781" s="89"/>
      <c r="BD781" s="89"/>
      <c r="BE781" s="89"/>
      <c r="BF781" s="89"/>
    </row>
    <row r="782" spans="1:58" s="14" customFormat="1" ht="14.1" customHeight="1">
      <c r="A782" s="412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  <c r="AA782" s="89"/>
      <c r="AB782" s="89"/>
      <c r="AC782" s="89"/>
      <c r="AD782" s="89"/>
      <c r="AE782" s="89"/>
      <c r="AF782" s="89"/>
      <c r="AG782" s="89"/>
      <c r="AH782" s="89"/>
      <c r="AI782" s="89"/>
      <c r="AJ782" s="89"/>
      <c r="AK782" s="89"/>
      <c r="AL782" s="89"/>
      <c r="AM782" s="89"/>
      <c r="AN782" s="89"/>
      <c r="AO782" s="89"/>
      <c r="AP782" s="89"/>
      <c r="AQ782" s="89"/>
      <c r="AR782" s="89"/>
      <c r="AS782" s="89"/>
      <c r="AT782" s="89"/>
      <c r="AU782" s="89"/>
      <c r="AV782" s="89"/>
      <c r="AW782" s="89"/>
      <c r="AX782" s="89"/>
      <c r="AY782" s="89"/>
      <c r="AZ782" s="89"/>
      <c r="BA782" s="89"/>
      <c r="BB782" s="89"/>
      <c r="BC782" s="89"/>
      <c r="BD782" s="89"/>
      <c r="BE782" s="89"/>
      <c r="BF782" s="89"/>
    </row>
    <row r="783" spans="1:58" s="14" customFormat="1" ht="14.1" customHeight="1">
      <c r="A783" s="412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  <c r="AA783" s="89"/>
      <c r="AB783" s="89"/>
      <c r="AC783" s="89"/>
      <c r="AD783" s="89"/>
      <c r="AE783" s="89"/>
      <c r="AF783" s="89"/>
      <c r="AG783" s="89"/>
      <c r="AH783" s="89"/>
      <c r="AI783" s="89"/>
      <c r="AJ783" s="89"/>
      <c r="AK783" s="89"/>
      <c r="AL783" s="89"/>
      <c r="AM783" s="89"/>
      <c r="AN783" s="89"/>
      <c r="AO783" s="89"/>
      <c r="AP783" s="89"/>
      <c r="AQ783" s="89"/>
      <c r="AR783" s="89"/>
      <c r="AS783" s="89"/>
      <c r="AT783" s="89"/>
      <c r="AU783" s="89"/>
      <c r="AV783" s="89"/>
      <c r="AW783" s="89"/>
      <c r="AX783" s="89"/>
      <c r="AY783" s="89"/>
      <c r="AZ783" s="89"/>
      <c r="BA783" s="89"/>
      <c r="BB783" s="89"/>
      <c r="BC783" s="89"/>
      <c r="BD783" s="89"/>
      <c r="BE783" s="89"/>
      <c r="BF783" s="89"/>
    </row>
    <row r="784" spans="1:58" s="14" customFormat="1" ht="14.1" customHeight="1">
      <c r="A784" s="412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  <c r="AA784" s="89"/>
      <c r="AB784" s="89"/>
      <c r="AC784" s="89"/>
      <c r="AD784" s="89"/>
      <c r="AE784" s="89"/>
      <c r="AF784" s="89"/>
      <c r="AG784" s="89"/>
      <c r="AH784" s="89"/>
      <c r="AI784" s="89"/>
      <c r="AJ784" s="89"/>
      <c r="AK784" s="89"/>
      <c r="AL784" s="89"/>
      <c r="AM784" s="89"/>
      <c r="AN784" s="89"/>
      <c r="AO784" s="89"/>
      <c r="AP784" s="89"/>
      <c r="AQ784" s="89"/>
      <c r="AR784" s="89"/>
      <c r="AS784" s="89"/>
      <c r="AT784" s="89"/>
      <c r="AU784" s="89"/>
      <c r="AV784" s="89"/>
      <c r="AW784" s="89"/>
      <c r="AX784" s="89"/>
      <c r="AY784" s="89"/>
      <c r="AZ784" s="89"/>
      <c r="BA784" s="89"/>
      <c r="BB784" s="89"/>
      <c r="BC784" s="89"/>
      <c r="BD784" s="89"/>
      <c r="BE784" s="89"/>
      <c r="BF784" s="89"/>
    </row>
    <row r="785" spans="1:58" s="14" customFormat="1" ht="14.1" customHeight="1">
      <c r="A785" s="412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  <c r="AA785" s="89"/>
      <c r="AB785" s="89"/>
      <c r="AC785" s="89"/>
      <c r="AD785" s="89"/>
      <c r="AE785" s="89"/>
      <c r="AF785" s="89"/>
      <c r="AG785" s="89"/>
      <c r="AH785" s="89"/>
      <c r="AI785" s="89"/>
      <c r="AJ785" s="89"/>
      <c r="AK785" s="89"/>
      <c r="AL785" s="89"/>
      <c r="AM785" s="89"/>
      <c r="AN785" s="89"/>
      <c r="AO785" s="89"/>
      <c r="AP785" s="89"/>
      <c r="AQ785" s="89"/>
      <c r="AR785" s="89"/>
      <c r="AS785" s="89"/>
      <c r="AT785" s="89"/>
      <c r="AU785" s="89"/>
      <c r="AV785" s="89"/>
      <c r="AW785" s="89"/>
      <c r="AX785" s="89"/>
      <c r="AY785" s="89"/>
      <c r="AZ785" s="89"/>
      <c r="BA785" s="89"/>
      <c r="BB785" s="89"/>
      <c r="BC785" s="89"/>
      <c r="BD785" s="89"/>
      <c r="BE785" s="89"/>
      <c r="BF785" s="89"/>
    </row>
    <row r="786" spans="1:58" s="14" customFormat="1" ht="14.1" customHeight="1">
      <c r="A786" s="412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  <c r="AA786" s="89"/>
      <c r="AB786" s="89"/>
      <c r="AC786" s="89"/>
      <c r="AD786" s="89"/>
      <c r="AE786" s="89"/>
      <c r="AF786" s="89"/>
      <c r="AG786" s="89"/>
      <c r="AH786" s="89"/>
      <c r="AI786" s="89"/>
      <c r="AJ786" s="89"/>
      <c r="AK786" s="89"/>
      <c r="AL786" s="89"/>
      <c r="AM786" s="89"/>
      <c r="AN786" s="89"/>
      <c r="AO786" s="89"/>
      <c r="AP786" s="89"/>
      <c r="AQ786" s="89"/>
      <c r="AR786" s="89"/>
      <c r="AS786" s="89"/>
      <c r="AT786" s="89"/>
      <c r="AU786" s="89"/>
      <c r="AV786" s="89"/>
      <c r="AW786" s="89"/>
      <c r="AX786" s="89"/>
      <c r="AY786" s="89"/>
      <c r="AZ786" s="89"/>
      <c r="BA786" s="89"/>
      <c r="BB786" s="89"/>
      <c r="BC786" s="89"/>
      <c r="BD786" s="89"/>
      <c r="BE786" s="89"/>
      <c r="BF786" s="89"/>
    </row>
    <row r="787" spans="1:58" s="14" customFormat="1" ht="14.1" customHeight="1">
      <c r="A787" s="412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  <c r="AA787" s="89"/>
      <c r="AB787" s="89"/>
      <c r="AC787" s="89"/>
      <c r="AD787" s="89"/>
      <c r="AE787" s="89"/>
      <c r="AF787" s="89"/>
      <c r="AG787" s="89"/>
      <c r="AH787" s="89"/>
      <c r="AI787" s="89"/>
      <c r="AJ787" s="89"/>
      <c r="AK787" s="89"/>
      <c r="AL787" s="89"/>
      <c r="AM787" s="89"/>
      <c r="AN787" s="89"/>
      <c r="AO787" s="89"/>
      <c r="AP787" s="89"/>
      <c r="AQ787" s="89"/>
      <c r="AR787" s="89"/>
      <c r="AS787" s="89"/>
      <c r="AT787" s="89"/>
      <c r="AU787" s="89"/>
      <c r="AV787" s="89"/>
      <c r="AW787" s="89"/>
      <c r="AX787" s="89"/>
      <c r="AY787" s="89"/>
      <c r="AZ787" s="89"/>
      <c r="BA787" s="89"/>
      <c r="BB787" s="89"/>
      <c r="BC787" s="89"/>
      <c r="BD787" s="89"/>
      <c r="BE787" s="89"/>
      <c r="BF787" s="89"/>
    </row>
    <row r="788" spans="1:58" s="14" customFormat="1" ht="14.1" customHeight="1">
      <c r="A788" s="412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  <c r="AA788" s="89"/>
      <c r="AB788" s="89"/>
      <c r="AC788" s="89"/>
      <c r="AD788" s="89"/>
      <c r="AE788" s="89"/>
      <c r="AF788" s="89"/>
      <c r="AG788" s="89"/>
      <c r="AH788" s="89"/>
      <c r="AI788" s="89"/>
      <c r="AJ788" s="89"/>
      <c r="AK788" s="89"/>
      <c r="AL788" s="89"/>
      <c r="AM788" s="89"/>
      <c r="AN788" s="89"/>
      <c r="AO788" s="89"/>
      <c r="AP788" s="89"/>
      <c r="AQ788" s="89"/>
      <c r="AR788" s="89"/>
      <c r="AS788" s="89"/>
      <c r="AT788" s="89"/>
      <c r="AU788" s="89"/>
      <c r="AV788" s="89"/>
      <c r="AW788" s="89"/>
      <c r="AX788" s="89"/>
      <c r="AY788" s="89"/>
      <c r="AZ788" s="89"/>
      <c r="BA788" s="89"/>
      <c r="BB788" s="89"/>
      <c r="BC788" s="89"/>
      <c r="BD788" s="89"/>
      <c r="BE788" s="89"/>
      <c r="BF788" s="89"/>
    </row>
    <row r="789" spans="1:58" s="14" customFormat="1" ht="14.1" customHeight="1">
      <c r="A789" s="412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  <c r="AA789" s="89"/>
      <c r="AB789" s="89"/>
      <c r="AC789" s="89"/>
      <c r="AD789" s="89"/>
      <c r="AE789" s="89"/>
      <c r="AF789" s="89"/>
      <c r="AG789" s="89"/>
      <c r="AH789" s="89"/>
      <c r="AI789" s="89"/>
      <c r="AJ789" s="89"/>
      <c r="AK789" s="89"/>
      <c r="AL789" s="89"/>
      <c r="AM789" s="89"/>
      <c r="AN789" s="89"/>
      <c r="AO789" s="89"/>
      <c r="AP789" s="89"/>
      <c r="AQ789" s="89"/>
      <c r="AR789" s="89"/>
      <c r="AS789" s="89"/>
      <c r="AT789" s="89"/>
      <c r="AU789" s="89"/>
      <c r="AV789" s="89"/>
      <c r="AW789" s="89"/>
      <c r="AX789" s="89"/>
      <c r="AY789" s="89"/>
      <c r="AZ789" s="89"/>
      <c r="BA789" s="89"/>
      <c r="BB789" s="89"/>
      <c r="BC789" s="89"/>
      <c r="BD789" s="89"/>
      <c r="BE789" s="89"/>
      <c r="BF789" s="89"/>
    </row>
    <row r="790" spans="1:58" s="14" customFormat="1" ht="14.1" customHeight="1">
      <c r="A790" s="412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  <c r="AA790" s="89"/>
      <c r="AB790" s="89"/>
      <c r="AC790" s="89"/>
      <c r="AD790" s="89"/>
      <c r="AE790" s="89"/>
      <c r="AF790" s="89"/>
      <c r="AG790" s="89"/>
      <c r="AH790" s="89"/>
      <c r="AI790" s="89"/>
      <c r="AJ790" s="89"/>
      <c r="AK790" s="89"/>
      <c r="AL790" s="89"/>
      <c r="AM790" s="89"/>
      <c r="AN790" s="89"/>
      <c r="AO790" s="89"/>
      <c r="AP790" s="89"/>
      <c r="AQ790" s="89"/>
      <c r="AR790" s="89"/>
      <c r="AS790" s="89"/>
      <c r="AT790" s="89"/>
      <c r="AU790" s="89"/>
      <c r="AV790" s="89"/>
      <c r="AW790" s="89"/>
      <c r="AX790" s="89"/>
      <c r="AY790" s="89"/>
      <c r="AZ790" s="89"/>
      <c r="BA790" s="89"/>
      <c r="BB790" s="89"/>
      <c r="BC790" s="89"/>
      <c r="BD790" s="89"/>
      <c r="BE790" s="89"/>
      <c r="BF790" s="89"/>
    </row>
    <row r="791" spans="1:58" s="14" customFormat="1" ht="14.1" customHeight="1">
      <c r="A791" s="412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  <c r="AA791" s="89"/>
      <c r="AB791" s="89"/>
      <c r="AC791" s="89"/>
      <c r="AD791" s="89"/>
      <c r="AE791" s="89"/>
      <c r="AF791" s="89"/>
      <c r="AG791" s="89"/>
      <c r="AH791" s="89"/>
      <c r="AI791" s="89"/>
      <c r="AJ791" s="89"/>
      <c r="AK791" s="89"/>
      <c r="AL791" s="89"/>
      <c r="AM791" s="89"/>
      <c r="AN791" s="89"/>
      <c r="AO791" s="89"/>
      <c r="AP791" s="89"/>
      <c r="AQ791" s="89"/>
      <c r="AR791" s="89"/>
      <c r="AS791" s="89"/>
      <c r="AT791" s="89"/>
      <c r="AU791" s="89"/>
      <c r="AV791" s="89"/>
      <c r="AW791" s="89"/>
      <c r="AX791" s="89"/>
      <c r="AY791" s="89"/>
      <c r="AZ791" s="89"/>
      <c r="BA791" s="89"/>
      <c r="BB791" s="89"/>
      <c r="BC791" s="89"/>
      <c r="BD791" s="89"/>
      <c r="BE791" s="89"/>
      <c r="BF791" s="89"/>
    </row>
    <row r="792" spans="1:58" s="14" customFormat="1" ht="14.1" customHeight="1">
      <c r="A792" s="412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  <c r="AA792" s="89"/>
      <c r="AB792" s="89"/>
      <c r="AC792" s="89"/>
      <c r="AD792" s="89"/>
      <c r="AE792" s="89"/>
      <c r="AF792" s="89"/>
      <c r="AG792" s="89"/>
      <c r="AH792" s="89"/>
      <c r="AI792" s="89"/>
      <c r="AJ792" s="89"/>
      <c r="AK792" s="89"/>
      <c r="AL792" s="89"/>
      <c r="AM792" s="89"/>
      <c r="AN792" s="89"/>
      <c r="AO792" s="89"/>
      <c r="AP792" s="89"/>
      <c r="AQ792" s="89"/>
      <c r="AR792" s="89"/>
      <c r="AS792" s="89"/>
      <c r="AT792" s="89"/>
      <c r="AU792" s="89"/>
      <c r="AV792" s="89"/>
      <c r="AW792" s="89"/>
      <c r="AX792" s="89"/>
      <c r="AY792" s="89"/>
      <c r="AZ792" s="89"/>
      <c r="BA792" s="89"/>
      <c r="BB792" s="89"/>
      <c r="BC792" s="89"/>
      <c r="BD792" s="89"/>
      <c r="BE792" s="89"/>
      <c r="BF792" s="89"/>
    </row>
    <row r="793" spans="1:58" s="14" customFormat="1" ht="14.1" customHeight="1">
      <c r="A793" s="412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  <c r="AA793" s="89"/>
      <c r="AB793" s="89"/>
      <c r="AC793" s="89"/>
      <c r="AD793" s="89"/>
      <c r="AE793" s="89"/>
      <c r="AF793" s="89"/>
      <c r="AG793" s="89"/>
      <c r="AH793" s="89"/>
      <c r="AI793" s="89"/>
      <c r="AJ793" s="89"/>
      <c r="AK793" s="89"/>
      <c r="AL793" s="89"/>
      <c r="AM793" s="89"/>
      <c r="AN793" s="89"/>
      <c r="AO793" s="89"/>
      <c r="AP793" s="89"/>
      <c r="AQ793" s="89"/>
      <c r="AR793" s="89"/>
      <c r="AS793" s="89"/>
      <c r="AT793" s="89"/>
      <c r="AU793" s="89"/>
      <c r="AV793" s="89"/>
      <c r="AW793" s="89"/>
      <c r="AX793" s="89"/>
      <c r="AY793" s="89"/>
      <c r="AZ793" s="89"/>
      <c r="BA793" s="89"/>
      <c r="BB793" s="89"/>
      <c r="BC793" s="89"/>
      <c r="BD793" s="89"/>
      <c r="BE793" s="89"/>
      <c r="BF793" s="89"/>
    </row>
    <row r="794" spans="1:58" s="14" customFormat="1" ht="14.1" customHeight="1">
      <c r="A794" s="412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  <c r="AA794" s="89"/>
      <c r="AB794" s="89"/>
      <c r="AC794" s="89"/>
      <c r="AD794" s="89"/>
      <c r="AE794" s="89"/>
      <c r="AF794" s="89"/>
      <c r="AG794" s="89"/>
      <c r="AH794" s="89"/>
      <c r="AI794" s="89"/>
      <c r="AJ794" s="89"/>
      <c r="AK794" s="89"/>
      <c r="AL794" s="89"/>
      <c r="AM794" s="89"/>
      <c r="AN794" s="89"/>
      <c r="AO794" s="89"/>
      <c r="AP794" s="89"/>
      <c r="AQ794" s="89"/>
      <c r="AR794" s="89"/>
      <c r="AS794" s="89"/>
      <c r="AT794" s="89"/>
      <c r="AU794" s="89"/>
      <c r="AV794" s="89"/>
      <c r="AW794" s="89"/>
      <c r="AX794" s="89"/>
      <c r="AY794" s="89"/>
      <c r="AZ794" s="89"/>
      <c r="BA794" s="89"/>
      <c r="BB794" s="89"/>
      <c r="BC794" s="89"/>
      <c r="BD794" s="89"/>
      <c r="BE794" s="89"/>
      <c r="BF794" s="89"/>
    </row>
    <row r="795" spans="1:58" s="14" customFormat="1" ht="14.1" customHeight="1">
      <c r="A795" s="412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  <c r="AA795" s="89"/>
      <c r="AB795" s="89"/>
      <c r="AC795" s="89"/>
      <c r="AD795" s="89"/>
      <c r="AE795" s="89"/>
      <c r="AF795" s="89"/>
      <c r="AG795" s="89"/>
      <c r="AH795" s="89"/>
      <c r="AI795" s="89"/>
      <c r="AJ795" s="89"/>
      <c r="AK795" s="89"/>
      <c r="AL795" s="89"/>
      <c r="AM795" s="89"/>
      <c r="AN795" s="89"/>
      <c r="AO795" s="89"/>
      <c r="AP795" s="89"/>
      <c r="AQ795" s="89"/>
      <c r="AR795" s="89"/>
      <c r="AS795" s="89"/>
      <c r="AT795" s="89"/>
      <c r="AU795" s="89"/>
      <c r="AV795" s="89"/>
      <c r="AW795" s="89"/>
      <c r="AX795" s="89"/>
      <c r="AY795" s="89"/>
      <c r="AZ795" s="89"/>
      <c r="BA795" s="89"/>
      <c r="BB795" s="89"/>
      <c r="BC795" s="89"/>
      <c r="BD795" s="89"/>
      <c r="BE795" s="89"/>
      <c r="BF795" s="89"/>
    </row>
    <row r="796" spans="1:58" s="14" customFormat="1" ht="14.1" customHeight="1">
      <c r="A796" s="412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  <c r="AA796" s="89"/>
      <c r="AB796" s="89"/>
      <c r="AC796" s="89"/>
      <c r="AD796" s="89"/>
      <c r="AE796" s="89"/>
      <c r="AF796" s="89"/>
      <c r="AG796" s="89"/>
      <c r="AH796" s="89"/>
      <c r="AI796" s="89"/>
      <c r="AJ796" s="89"/>
      <c r="AK796" s="89"/>
      <c r="AL796" s="89"/>
      <c r="AM796" s="89"/>
      <c r="AN796" s="89"/>
      <c r="AO796" s="89"/>
      <c r="AP796" s="89"/>
      <c r="AQ796" s="89"/>
      <c r="AR796" s="89"/>
      <c r="AS796" s="89"/>
      <c r="AT796" s="89"/>
      <c r="AU796" s="89"/>
      <c r="AV796" s="89"/>
      <c r="AW796" s="89"/>
      <c r="AX796" s="89"/>
      <c r="AY796" s="89"/>
      <c r="AZ796" s="89"/>
      <c r="BA796" s="89"/>
      <c r="BB796" s="89"/>
      <c r="BC796" s="89"/>
      <c r="BD796" s="89"/>
      <c r="BE796" s="89"/>
      <c r="BF796" s="89"/>
    </row>
    <row r="797" spans="1:58" s="14" customFormat="1" ht="14.1" customHeight="1">
      <c r="A797" s="412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  <c r="AA797" s="89"/>
      <c r="AB797" s="89"/>
      <c r="AC797" s="89"/>
      <c r="AD797" s="89"/>
      <c r="AE797" s="89"/>
      <c r="AF797" s="89"/>
      <c r="AG797" s="89"/>
      <c r="AH797" s="89"/>
      <c r="AI797" s="89"/>
      <c r="AJ797" s="89"/>
      <c r="AK797" s="89"/>
      <c r="AL797" s="89"/>
      <c r="AM797" s="89"/>
      <c r="AN797" s="89"/>
      <c r="AO797" s="89"/>
      <c r="AP797" s="89"/>
      <c r="AQ797" s="89"/>
      <c r="AR797" s="89"/>
      <c r="AS797" s="89"/>
      <c r="AT797" s="89"/>
      <c r="AU797" s="89"/>
      <c r="AV797" s="89"/>
      <c r="AW797" s="89"/>
      <c r="AX797" s="89"/>
      <c r="AY797" s="89"/>
      <c r="AZ797" s="89"/>
      <c r="BA797" s="89"/>
      <c r="BB797" s="89"/>
      <c r="BC797" s="89"/>
      <c r="BD797" s="89"/>
      <c r="BE797" s="89"/>
      <c r="BF797" s="89"/>
    </row>
    <row r="798" spans="1:58" s="14" customFormat="1" ht="14.1" customHeight="1">
      <c r="A798" s="412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  <c r="AA798" s="89"/>
      <c r="AB798" s="89"/>
      <c r="AC798" s="89"/>
      <c r="AD798" s="89"/>
      <c r="AE798" s="89"/>
      <c r="AF798" s="89"/>
      <c r="AG798" s="89"/>
      <c r="AH798" s="89"/>
      <c r="AI798" s="89"/>
      <c r="AJ798" s="89"/>
      <c r="AK798" s="89"/>
      <c r="AL798" s="89"/>
      <c r="AM798" s="89"/>
      <c r="AN798" s="89"/>
      <c r="AO798" s="89"/>
      <c r="AP798" s="89"/>
      <c r="AQ798" s="89"/>
      <c r="AR798" s="89"/>
      <c r="AS798" s="89"/>
      <c r="AT798" s="89"/>
      <c r="AU798" s="89"/>
      <c r="AV798" s="89"/>
      <c r="AW798" s="89"/>
      <c r="AX798" s="89"/>
      <c r="AY798" s="89"/>
      <c r="AZ798" s="89"/>
      <c r="BA798" s="89"/>
      <c r="BB798" s="89"/>
      <c r="BC798" s="89"/>
      <c r="BD798" s="89"/>
      <c r="BE798" s="89"/>
      <c r="BF798" s="89"/>
    </row>
    <row r="799" spans="1:58" s="14" customFormat="1" ht="14.1" customHeight="1">
      <c r="A799" s="412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  <c r="AA799" s="89"/>
      <c r="AB799" s="89"/>
      <c r="AC799" s="89"/>
      <c r="AD799" s="89"/>
      <c r="AE799" s="89"/>
      <c r="AF799" s="89"/>
      <c r="AG799" s="89"/>
      <c r="AH799" s="89"/>
      <c r="AI799" s="89"/>
      <c r="AJ799" s="89"/>
      <c r="AK799" s="89"/>
      <c r="AL799" s="89"/>
      <c r="AM799" s="89"/>
      <c r="AN799" s="89"/>
      <c r="AO799" s="89"/>
      <c r="AP799" s="89"/>
      <c r="AQ799" s="89"/>
      <c r="AR799" s="89"/>
      <c r="AS799" s="89"/>
      <c r="AT799" s="89"/>
      <c r="AU799" s="89"/>
      <c r="AV799" s="89"/>
      <c r="AW799" s="89"/>
      <c r="AX799" s="89"/>
      <c r="AY799" s="89"/>
      <c r="AZ799" s="89"/>
      <c r="BA799" s="89"/>
      <c r="BB799" s="89"/>
      <c r="BC799" s="89"/>
      <c r="BD799" s="89"/>
      <c r="BE799" s="89"/>
      <c r="BF799" s="89"/>
    </row>
    <row r="800" spans="1:58" s="14" customFormat="1" ht="14.1" customHeight="1">
      <c r="A800" s="412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  <c r="AA800" s="89"/>
      <c r="AB800" s="89"/>
      <c r="AC800" s="89"/>
      <c r="AD800" s="89"/>
      <c r="AE800" s="89"/>
      <c r="AF800" s="89"/>
      <c r="AG800" s="89"/>
      <c r="AH800" s="89"/>
      <c r="AI800" s="89"/>
      <c r="AJ800" s="89"/>
      <c r="AK800" s="89"/>
      <c r="AL800" s="89"/>
      <c r="AM800" s="89"/>
      <c r="AN800" s="89"/>
      <c r="AO800" s="89"/>
      <c r="AP800" s="89"/>
      <c r="AQ800" s="89"/>
      <c r="AR800" s="89"/>
      <c r="AS800" s="89"/>
      <c r="AT800" s="89"/>
      <c r="AU800" s="89"/>
      <c r="AV800" s="89"/>
      <c r="AW800" s="89"/>
      <c r="AX800" s="89"/>
      <c r="AY800" s="89"/>
      <c r="AZ800" s="89"/>
      <c r="BA800" s="89"/>
      <c r="BB800" s="89"/>
      <c r="BC800" s="89"/>
      <c r="BD800" s="89"/>
      <c r="BE800" s="89"/>
      <c r="BF800" s="89"/>
    </row>
    <row r="801" spans="1:58" s="14" customFormat="1" ht="14.1" customHeight="1">
      <c r="A801" s="412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  <c r="AA801" s="89"/>
      <c r="AB801" s="89"/>
      <c r="AC801" s="89"/>
      <c r="AD801" s="89"/>
      <c r="AE801" s="89"/>
      <c r="AF801" s="89"/>
      <c r="AG801" s="89"/>
      <c r="AH801" s="89"/>
      <c r="AI801" s="89"/>
      <c r="AJ801" s="89"/>
      <c r="AK801" s="89"/>
      <c r="AL801" s="89"/>
      <c r="AM801" s="89"/>
      <c r="AN801" s="89"/>
      <c r="AO801" s="89"/>
      <c r="AP801" s="89"/>
      <c r="AQ801" s="89"/>
      <c r="AR801" s="89"/>
      <c r="AS801" s="89"/>
      <c r="AT801" s="89"/>
      <c r="AU801" s="89"/>
      <c r="AV801" s="89"/>
      <c r="AW801" s="89"/>
      <c r="AX801" s="89"/>
      <c r="AY801" s="89"/>
      <c r="AZ801" s="89"/>
      <c r="BA801" s="89"/>
      <c r="BB801" s="89"/>
      <c r="BC801" s="89"/>
      <c r="BD801" s="89"/>
      <c r="BE801" s="89"/>
      <c r="BF801" s="89"/>
    </row>
    <row r="802" spans="1:58" s="14" customFormat="1" ht="14.1" customHeight="1">
      <c r="A802" s="412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  <c r="AA802" s="89"/>
      <c r="AB802" s="89"/>
      <c r="AC802" s="89"/>
      <c r="AD802" s="89"/>
      <c r="AE802" s="89"/>
      <c r="AF802" s="89"/>
      <c r="AG802" s="89"/>
      <c r="AH802" s="89"/>
      <c r="AI802" s="89"/>
      <c r="AJ802" s="89"/>
      <c r="AK802" s="89"/>
      <c r="AL802" s="89"/>
      <c r="AM802" s="89"/>
      <c r="AN802" s="89"/>
      <c r="AO802" s="89"/>
      <c r="AP802" s="89"/>
      <c r="AQ802" s="89"/>
      <c r="AR802" s="89"/>
      <c r="AS802" s="89"/>
      <c r="AT802" s="89"/>
      <c r="AU802" s="89"/>
      <c r="AV802" s="89"/>
      <c r="AW802" s="89"/>
      <c r="AX802" s="89"/>
      <c r="AY802" s="89"/>
      <c r="AZ802" s="89"/>
      <c r="BA802" s="89"/>
      <c r="BB802" s="89"/>
      <c r="BC802" s="89"/>
      <c r="BD802" s="89"/>
      <c r="BE802" s="89"/>
      <c r="BF802" s="89"/>
    </row>
    <row r="803" spans="1:58" s="14" customFormat="1" ht="14.1" customHeight="1">
      <c r="A803" s="412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  <c r="AA803" s="89"/>
      <c r="AB803" s="89"/>
      <c r="AC803" s="89"/>
      <c r="AD803" s="89"/>
      <c r="AE803" s="89"/>
      <c r="AF803" s="89"/>
      <c r="AG803" s="89"/>
      <c r="AH803" s="89"/>
      <c r="AI803" s="89"/>
      <c r="AJ803" s="89"/>
      <c r="AK803" s="89"/>
      <c r="AL803" s="89"/>
      <c r="AM803" s="89"/>
      <c r="AN803" s="89"/>
      <c r="AO803" s="89"/>
      <c r="AP803" s="89"/>
      <c r="AQ803" s="89"/>
      <c r="AR803" s="89"/>
      <c r="AS803" s="89"/>
      <c r="AT803" s="89"/>
      <c r="AU803" s="89"/>
      <c r="AV803" s="89"/>
      <c r="AW803" s="89"/>
      <c r="AX803" s="89"/>
      <c r="AY803" s="89"/>
      <c r="AZ803" s="89"/>
      <c r="BA803" s="89"/>
      <c r="BB803" s="89"/>
      <c r="BC803" s="89"/>
      <c r="BD803" s="89"/>
      <c r="BE803" s="89"/>
      <c r="BF803" s="89"/>
    </row>
    <row r="804" spans="1:58" s="14" customFormat="1" ht="14.1" customHeight="1">
      <c r="A804" s="412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  <c r="AA804" s="89"/>
      <c r="AB804" s="89"/>
      <c r="AC804" s="89"/>
      <c r="AD804" s="89"/>
      <c r="AE804" s="89"/>
      <c r="AF804" s="89"/>
      <c r="AG804" s="89"/>
      <c r="AH804" s="89"/>
      <c r="AI804" s="89"/>
      <c r="AJ804" s="89"/>
      <c r="AK804" s="89"/>
      <c r="AL804" s="89"/>
      <c r="AM804" s="89"/>
      <c r="AN804" s="89"/>
      <c r="AO804" s="89"/>
      <c r="AP804" s="89"/>
      <c r="AQ804" s="89"/>
      <c r="AR804" s="89"/>
      <c r="AS804" s="89"/>
      <c r="AT804" s="89"/>
      <c r="AU804" s="89"/>
      <c r="AV804" s="89"/>
      <c r="AW804" s="89"/>
      <c r="AX804" s="89"/>
      <c r="AY804" s="89"/>
      <c r="AZ804" s="89"/>
      <c r="BA804" s="89"/>
      <c r="BB804" s="89"/>
      <c r="BC804" s="89"/>
      <c r="BD804" s="89"/>
      <c r="BE804" s="89"/>
      <c r="BF804" s="89"/>
    </row>
    <row r="805" spans="1:58" s="14" customFormat="1" ht="14.1" customHeight="1">
      <c r="A805" s="412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  <c r="AA805" s="89"/>
      <c r="AB805" s="89"/>
      <c r="AC805" s="89"/>
      <c r="AD805" s="89"/>
      <c r="AE805" s="89"/>
      <c r="AF805" s="89"/>
      <c r="AG805" s="89"/>
      <c r="AH805" s="89"/>
      <c r="AI805" s="89"/>
      <c r="AJ805" s="89"/>
      <c r="AK805" s="89"/>
      <c r="AL805" s="89"/>
      <c r="AM805" s="89"/>
      <c r="AN805" s="89"/>
      <c r="AO805" s="89"/>
      <c r="AP805" s="89"/>
      <c r="AQ805" s="89"/>
      <c r="AR805" s="89"/>
      <c r="AS805" s="89"/>
      <c r="AT805" s="89"/>
      <c r="AU805" s="89"/>
      <c r="AV805" s="89"/>
      <c r="AW805" s="89"/>
      <c r="AX805" s="89"/>
      <c r="AY805" s="89"/>
      <c r="AZ805" s="89"/>
      <c r="BA805" s="89"/>
      <c r="BB805" s="89"/>
      <c r="BC805" s="89"/>
      <c r="BD805" s="89"/>
      <c r="BE805" s="89"/>
      <c r="BF805" s="89"/>
    </row>
    <row r="806" spans="1:58" s="14" customFormat="1" ht="14.1" customHeight="1">
      <c r="A806" s="412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  <c r="AA806" s="89"/>
      <c r="AB806" s="89"/>
      <c r="AC806" s="89"/>
      <c r="AD806" s="89"/>
      <c r="AE806" s="89"/>
      <c r="AF806" s="89"/>
      <c r="AG806" s="89"/>
      <c r="AH806" s="89"/>
      <c r="AI806" s="89"/>
      <c r="AJ806" s="89"/>
      <c r="AK806" s="89"/>
      <c r="AL806" s="89"/>
      <c r="AM806" s="89"/>
      <c r="AN806" s="89"/>
      <c r="AO806" s="89"/>
      <c r="AP806" s="89"/>
      <c r="AQ806" s="89"/>
      <c r="AR806" s="89"/>
      <c r="AS806" s="89"/>
      <c r="AT806" s="89"/>
      <c r="AU806" s="89"/>
      <c r="AV806" s="89"/>
      <c r="AW806" s="89"/>
      <c r="AX806" s="89"/>
      <c r="AY806" s="89"/>
      <c r="AZ806" s="89"/>
      <c r="BA806" s="89"/>
      <c r="BB806" s="89"/>
      <c r="BC806" s="89"/>
      <c r="BD806" s="89"/>
      <c r="BE806" s="89"/>
      <c r="BF806" s="89"/>
    </row>
    <row r="807" spans="1:58" s="14" customFormat="1" ht="14.1" customHeight="1">
      <c r="A807" s="412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  <c r="AA807" s="89"/>
      <c r="AB807" s="89"/>
      <c r="AC807" s="89"/>
      <c r="AD807" s="89"/>
      <c r="AE807" s="89"/>
      <c r="AF807" s="89"/>
      <c r="AG807" s="89"/>
      <c r="AH807" s="89"/>
      <c r="AI807" s="89"/>
      <c r="AJ807" s="89"/>
      <c r="AK807" s="89"/>
      <c r="AL807" s="89"/>
      <c r="AM807" s="89"/>
      <c r="AN807" s="89"/>
      <c r="AO807" s="89"/>
      <c r="AP807" s="89"/>
      <c r="AQ807" s="89"/>
      <c r="AR807" s="89"/>
      <c r="AS807" s="89"/>
      <c r="AT807" s="89"/>
      <c r="AU807" s="89"/>
      <c r="AV807" s="89"/>
      <c r="AW807" s="89"/>
      <c r="AX807" s="89"/>
      <c r="AY807" s="89"/>
      <c r="AZ807" s="89"/>
      <c r="BA807" s="89"/>
      <c r="BB807" s="89"/>
      <c r="BC807" s="89"/>
      <c r="BD807" s="89"/>
      <c r="BE807" s="89"/>
      <c r="BF807" s="89"/>
    </row>
    <row r="808" spans="1:58" s="14" customFormat="1" ht="14.1" customHeight="1">
      <c r="A808" s="412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  <c r="AA808" s="89"/>
      <c r="AB808" s="89"/>
      <c r="AC808" s="89"/>
      <c r="AD808" s="89"/>
      <c r="AE808" s="89"/>
      <c r="AF808" s="89"/>
      <c r="AG808" s="89"/>
      <c r="AH808" s="89"/>
      <c r="AI808" s="89"/>
      <c r="AJ808" s="89"/>
      <c r="AK808" s="89"/>
      <c r="AL808" s="89"/>
      <c r="AM808" s="89"/>
      <c r="AN808" s="89"/>
      <c r="AO808" s="89"/>
      <c r="AP808" s="89"/>
      <c r="AQ808" s="89"/>
      <c r="AR808" s="89"/>
      <c r="AS808" s="89"/>
      <c r="AT808" s="89"/>
      <c r="AU808" s="89"/>
      <c r="AV808" s="89"/>
      <c r="AW808" s="89"/>
      <c r="AX808" s="89"/>
      <c r="AY808" s="89"/>
      <c r="AZ808" s="89"/>
      <c r="BA808" s="89"/>
      <c r="BB808" s="89"/>
      <c r="BC808" s="89"/>
      <c r="BD808" s="89"/>
      <c r="BE808" s="89"/>
      <c r="BF808" s="89"/>
    </row>
    <row r="809" spans="1:58" s="14" customFormat="1" ht="14.1" customHeight="1">
      <c r="A809" s="412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  <c r="AA809" s="89"/>
      <c r="AB809" s="89"/>
      <c r="AC809" s="89"/>
      <c r="AD809" s="89"/>
      <c r="AE809" s="89"/>
      <c r="AF809" s="89"/>
      <c r="AG809" s="89"/>
      <c r="AH809" s="89"/>
      <c r="AI809" s="89"/>
      <c r="AJ809" s="89"/>
      <c r="AK809" s="89"/>
      <c r="AL809" s="89"/>
      <c r="AM809" s="89"/>
      <c r="AN809" s="89"/>
      <c r="AO809" s="89"/>
      <c r="AP809" s="89"/>
      <c r="AQ809" s="89"/>
      <c r="AR809" s="89"/>
      <c r="AS809" s="89"/>
      <c r="AT809" s="89"/>
      <c r="AU809" s="89"/>
      <c r="AV809" s="89"/>
      <c r="AW809" s="89"/>
      <c r="AX809" s="89"/>
      <c r="AY809" s="89"/>
      <c r="AZ809" s="89"/>
      <c r="BA809" s="89"/>
      <c r="BB809" s="89"/>
      <c r="BC809" s="89"/>
      <c r="BD809" s="89"/>
      <c r="BE809" s="89"/>
      <c r="BF809" s="89"/>
    </row>
    <row r="810" spans="1:58" s="14" customFormat="1" ht="14.1" customHeight="1">
      <c r="A810" s="412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  <c r="AA810" s="89"/>
      <c r="AB810" s="89"/>
      <c r="AC810" s="89"/>
      <c r="AD810" s="89"/>
      <c r="AE810" s="89"/>
      <c r="AF810" s="89"/>
      <c r="AG810" s="89"/>
      <c r="AH810" s="89"/>
      <c r="AI810" s="89"/>
      <c r="AJ810" s="89"/>
      <c r="AK810" s="89"/>
      <c r="AL810" s="89"/>
      <c r="AM810" s="89"/>
      <c r="AN810" s="89"/>
      <c r="AO810" s="89"/>
      <c r="AP810" s="89"/>
      <c r="AQ810" s="89"/>
      <c r="AR810" s="89"/>
      <c r="AS810" s="89"/>
      <c r="AT810" s="89"/>
      <c r="AU810" s="89"/>
      <c r="AV810" s="89"/>
      <c r="AW810" s="89"/>
      <c r="AX810" s="89"/>
      <c r="AY810" s="89"/>
      <c r="AZ810" s="89"/>
      <c r="BA810" s="89"/>
      <c r="BB810" s="89"/>
      <c r="BC810" s="89"/>
      <c r="BD810" s="89"/>
      <c r="BE810" s="89"/>
      <c r="BF810" s="89"/>
    </row>
    <row r="811" spans="1:58" s="14" customFormat="1" ht="14.1" customHeight="1">
      <c r="A811" s="412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  <c r="AA811" s="89"/>
      <c r="AB811" s="89"/>
      <c r="AC811" s="89"/>
      <c r="AD811" s="89"/>
      <c r="AE811" s="89"/>
      <c r="AF811" s="89"/>
      <c r="AG811" s="89"/>
      <c r="AH811" s="89"/>
      <c r="AI811" s="89"/>
      <c r="AJ811" s="89"/>
      <c r="AK811" s="89"/>
      <c r="AL811" s="89"/>
      <c r="AM811" s="89"/>
      <c r="AN811" s="89"/>
      <c r="AO811" s="89"/>
      <c r="AP811" s="89"/>
      <c r="AQ811" s="89"/>
      <c r="AR811" s="89"/>
      <c r="AS811" s="89"/>
      <c r="AT811" s="89"/>
      <c r="AU811" s="89"/>
      <c r="AV811" s="89"/>
      <c r="AW811" s="89"/>
      <c r="AX811" s="89"/>
      <c r="AY811" s="89"/>
      <c r="AZ811" s="89"/>
      <c r="BA811" s="89"/>
      <c r="BB811" s="89"/>
      <c r="BC811" s="89"/>
      <c r="BD811" s="89"/>
      <c r="BE811" s="89"/>
      <c r="BF811" s="89"/>
    </row>
    <row r="812" spans="1:58" s="14" customFormat="1" ht="14.1" customHeight="1">
      <c r="A812" s="412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  <c r="AA812" s="89"/>
      <c r="AB812" s="89"/>
      <c r="AC812" s="89"/>
      <c r="AD812" s="89"/>
      <c r="AE812" s="89"/>
      <c r="AF812" s="89"/>
      <c r="AG812" s="89"/>
      <c r="AH812" s="89"/>
      <c r="AI812" s="89"/>
      <c r="AJ812" s="89"/>
      <c r="AK812" s="89"/>
      <c r="AL812" s="89"/>
      <c r="AM812" s="89"/>
      <c r="AN812" s="89"/>
      <c r="AO812" s="89"/>
      <c r="AP812" s="89"/>
      <c r="AQ812" s="89"/>
      <c r="AR812" s="89"/>
      <c r="AS812" s="89"/>
      <c r="AT812" s="89"/>
      <c r="AU812" s="89"/>
      <c r="AV812" s="89"/>
      <c r="AW812" s="89"/>
      <c r="AX812" s="89"/>
      <c r="AY812" s="89"/>
      <c r="AZ812" s="89"/>
      <c r="BA812" s="89"/>
      <c r="BB812" s="89"/>
      <c r="BC812" s="89"/>
      <c r="BD812" s="89"/>
      <c r="BE812" s="89"/>
      <c r="BF812" s="89"/>
    </row>
    <row r="813" spans="1:58" s="14" customFormat="1" ht="14.1" customHeight="1">
      <c r="A813" s="412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  <c r="AA813" s="89"/>
      <c r="AB813" s="89"/>
      <c r="AC813" s="89"/>
      <c r="AD813" s="89"/>
      <c r="AE813" s="89"/>
      <c r="AF813" s="89"/>
      <c r="AG813" s="89"/>
      <c r="AH813" s="89"/>
      <c r="AI813" s="89"/>
      <c r="AJ813" s="89"/>
      <c r="AK813" s="89"/>
      <c r="AL813" s="89"/>
      <c r="AM813" s="89"/>
      <c r="AN813" s="89"/>
      <c r="AO813" s="89"/>
      <c r="AP813" s="89"/>
      <c r="AQ813" s="89"/>
      <c r="AR813" s="89"/>
      <c r="AS813" s="89"/>
      <c r="AT813" s="89"/>
      <c r="AU813" s="89"/>
      <c r="AV813" s="89"/>
      <c r="AW813" s="89"/>
      <c r="AX813" s="89"/>
      <c r="AY813" s="89"/>
      <c r="AZ813" s="89"/>
      <c r="BA813" s="89"/>
      <c r="BB813" s="89"/>
      <c r="BC813" s="89"/>
      <c r="BD813" s="89"/>
      <c r="BE813" s="89"/>
      <c r="BF813" s="89"/>
    </row>
    <row r="814" spans="1:58" s="14" customFormat="1" ht="14.1" customHeight="1">
      <c r="A814" s="412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  <c r="AA814" s="89"/>
      <c r="AB814" s="89"/>
      <c r="AC814" s="89"/>
      <c r="AD814" s="89"/>
      <c r="AE814" s="89"/>
      <c r="AF814" s="89"/>
      <c r="AG814" s="89"/>
      <c r="AH814" s="89"/>
      <c r="AI814" s="89"/>
      <c r="AJ814" s="89"/>
      <c r="AK814" s="89"/>
      <c r="AL814" s="89"/>
      <c r="AM814" s="89"/>
      <c r="AN814" s="89"/>
      <c r="AO814" s="89"/>
      <c r="AP814" s="89"/>
      <c r="AQ814" s="89"/>
      <c r="AR814" s="89"/>
      <c r="AS814" s="89"/>
      <c r="AT814" s="89"/>
      <c r="AU814" s="89"/>
      <c r="AV814" s="89"/>
      <c r="AW814" s="89"/>
      <c r="AX814" s="89"/>
      <c r="AY814" s="89"/>
      <c r="AZ814" s="89"/>
      <c r="BA814" s="89"/>
      <c r="BB814" s="89"/>
      <c r="BC814" s="89"/>
      <c r="BD814" s="89"/>
      <c r="BE814" s="89"/>
      <c r="BF814" s="89"/>
    </row>
    <row r="815" spans="1:58" s="14" customFormat="1" ht="14.1" customHeight="1">
      <c r="A815" s="412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  <c r="AA815" s="89"/>
      <c r="AB815" s="89"/>
      <c r="AC815" s="89"/>
      <c r="AD815" s="89"/>
      <c r="AE815" s="89"/>
      <c r="AF815" s="89"/>
      <c r="AG815" s="89"/>
      <c r="AH815" s="89"/>
      <c r="AI815" s="89"/>
      <c r="AJ815" s="89"/>
      <c r="AK815" s="89"/>
      <c r="AL815" s="89"/>
      <c r="AM815" s="89"/>
      <c r="AN815" s="89"/>
      <c r="AO815" s="89"/>
      <c r="AP815" s="89"/>
      <c r="AQ815" s="89"/>
      <c r="AR815" s="89"/>
      <c r="AS815" s="89"/>
      <c r="AT815" s="89"/>
      <c r="AU815" s="89"/>
      <c r="AV815" s="89"/>
      <c r="AW815" s="89"/>
      <c r="AX815" s="89"/>
      <c r="AY815" s="89"/>
      <c r="AZ815" s="89"/>
      <c r="BA815" s="89"/>
      <c r="BB815" s="89"/>
      <c r="BC815" s="89"/>
      <c r="BD815" s="89"/>
      <c r="BE815" s="89"/>
      <c r="BF815" s="89"/>
    </row>
    <row r="816" spans="1:58" s="14" customFormat="1" ht="14.1" customHeight="1">
      <c r="A816" s="412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  <c r="AA816" s="89"/>
      <c r="AB816" s="89"/>
      <c r="AC816" s="89"/>
      <c r="AD816" s="89"/>
      <c r="AE816" s="89"/>
      <c r="AF816" s="89"/>
      <c r="AG816" s="89"/>
      <c r="AH816" s="89"/>
      <c r="AI816" s="89"/>
      <c r="AJ816" s="89"/>
      <c r="AK816" s="89"/>
      <c r="AL816" s="89"/>
      <c r="AM816" s="89"/>
      <c r="AN816" s="89"/>
      <c r="AO816" s="89"/>
      <c r="AP816" s="89"/>
      <c r="AQ816" s="89"/>
      <c r="AR816" s="89"/>
      <c r="AS816" s="89"/>
      <c r="AT816" s="89"/>
      <c r="AU816" s="89"/>
      <c r="AV816" s="89"/>
      <c r="AW816" s="89"/>
      <c r="AX816" s="89"/>
      <c r="AY816" s="89"/>
      <c r="AZ816" s="89"/>
      <c r="BA816" s="89"/>
      <c r="BB816" s="89"/>
      <c r="BC816" s="89"/>
      <c r="BD816" s="89"/>
      <c r="BE816" s="89"/>
      <c r="BF816" s="89"/>
    </row>
    <row r="817" spans="1:58" s="14" customFormat="1" ht="14.1" customHeight="1">
      <c r="A817" s="412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  <c r="AA817" s="89"/>
      <c r="AB817" s="89"/>
      <c r="AC817" s="89"/>
      <c r="AD817" s="89"/>
      <c r="AE817" s="89"/>
      <c r="AF817" s="89"/>
      <c r="AG817" s="89"/>
      <c r="AH817" s="89"/>
      <c r="AI817" s="89"/>
      <c r="AJ817" s="89"/>
      <c r="AK817" s="89"/>
      <c r="AL817" s="89"/>
      <c r="AM817" s="89"/>
      <c r="AN817" s="89"/>
      <c r="AO817" s="89"/>
      <c r="AP817" s="89"/>
      <c r="AQ817" s="89"/>
      <c r="AR817" s="89"/>
      <c r="AS817" s="89"/>
      <c r="AT817" s="89"/>
      <c r="AU817" s="89"/>
      <c r="AV817" s="89"/>
      <c r="AW817" s="89"/>
      <c r="AX817" s="89"/>
      <c r="AY817" s="89"/>
      <c r="AZ817" s="89"/>
      <c r="BA817" s="89"/>
      <c r="BB817" s="89"/>
      <c r="BC817" s="89"/>
      <c r="BD817" s="89"/>
      <c r="BE817" s="89"/>
      <c r="BF817" s="89"/>
    </row>
    <row r="818" spans="1:58" s="14" customFormat="1" ht="14.1" customHeight="1">
      <c r="A818" s="412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  <c r="AA818" s="89"/>
      <c r="AB818" s="89"/>
      <c r="AC818" s="89"/>
      <c r="AD818" s="89"/>
      <c r="AE818" s="89"/>
      <c r="AF818" s="89"/>
      <c r="AG818" s="89"/>
      <c r="AH818" s="89"/>
      <c r="AI818" s="89"/>
      <c r="AJ818" s="89"/>
      <c r="AK818" s="89"/>
      <c r="AL818" s="89"/>
      <c r="AM818" s="89"/>
      <c r="AN818" s="89"/>
      <c r="AO818" s="89"/>
      <c r="AP818" s="89"/>
      <c r="AQ818" s="89"/>
      <c r="AR818" s="89"/>
      <c r="AS818" s="89"/>
      <c r="AT818" s="89"/>
      <c r="AU818" s="89"/>
      <c r="AV818" s="89"/>
      <c r="AW818" s="89"/>
      <c r="AX818" s="89"/>
      <c r="AY818" s="89"/>
      <c r="AZ818" s="89"/>
      <c r="BA818" s="89"/>
      <c r="BB818" s="89"/>
      <c r="BC818" s="89"/>
      <c r="BD818" s="89"/>
      <c r="BE818" s="89"/>
      <c r="BF818" s="89"/>
    </row>
    <row r="819" spans="1:58" s="14" customFormat="1" ht="14.1" customHeight="1">
      <c r="A819" s="412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  <c r="AA819" s="89"/>
      <c r="AB819" s="89"/>
      <c r="AC819" s="89"/>
      <c r="AD819" s="89"/>
      <c r="AE819" s="89"/>
      <c r="AF819" s="89"/>
      <c r="AG819" s="89"/>
      <c r="AH819" s="89"/>
      <c r="AI819" s="89"/>
      <c r="AJ819" s="89"/>
      <c r="AK819" s="89"/>
      <c r="AL819" s="89"/>
      <c r="AM819" s="89"/>
      <c r="AN819" s="89"/>
      <c r="AO819" s="89"/>
      <c r="AP819" s="89"/>
      <c r="AQ819" s="89"/>
      <c r="AR819" s="89"/>
      <c r="AS819" s="89"/>
      <c r="AT819" s="89"/>
      <c r="AU819" s="89"/>
      <c r="AV819" s="89"/>
      <c r="AW819" s="89"/>
      <c r="AX819" s="89"/>
      <c r="AY819" s="89"/>
      <c r="AZ819" s="89"/>
      <c r="BA819" s="89"/>
      <c r="BB819" s="89"/>
      <c r="BC819" s="89"/>
      <c r="BD819" s="89"/>
      <c r="BE819" s="89"/>
      <c r="BF819" s="89"/>
    </row>
    <row r="820" spans="1:58" s="14" customFormat="1" ht="14.1" customHeight="1">
      <c r="A820" s="412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  <c r="AA820" s="89"/>
      <c r="AB820" s="89"/>
      <c r="AC820" s="89"/>
      <c r="AD820" s="89"/>
      <c r="AE820" s="89"/>
      <c r="AF820" s="89"/>
      <c r="AG820" s="89"/>
      <c r="AH820" s="89"/>
      <c r="AI820" s="89"/>
      <c r="AJ820" s="89"/>
      <c r="AK820" s="89"/>
      <c r="AL820" s="89"/>
      <c r="AM820" s="89"/>
      <c r="AN820" s="89"/>
      <c r="AO820" s="89"/>
      <c r="AP820" s="89"/>
      <c r="AQ820" s="89"/>
      <c r="AR820" s="89"/>
      <c r="AS820" s="89"/>
      <c r="AT820" s="89"/>
      <c r="AU820" s="89"/>
      <c r="AV820" s="89"/>
      <c r="AW820" s="89"/>
      <c r="AX820" s="89"/>
      <c r="AY820" s="89"/>
      <c r="AZ820" s="89"/>
      <c r="BA820" s="89"/>
      <c r="BB820" s="89"/>
      <c r="BC820" s="89"/>
      <c r="BD820" s="89"/>
      <c r="BE820" s="89"/>
      <c r="BF820" s="89"/>
    </row>
    <row r="821" spans="1:58" s="14" customFormat="1" ht="14.1" customHeight="1">
      <c r="A821" s="412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  <c r="AA821" s="89"/>
      <c r="AB821" s="89"/>
      <c r="AC821" s="89"/>
      <c r="AD821" s="89"/>
      <c r="AE821" s="89"/>
      <c r="AF821" s="89"/>
      <c r="AG821" s="89"/>
      <c r="AH821" s="89"/>
      <c r="AI821" s="89"/>
      <c r="AJ821" s="89"/>
      <c r="AK821" s="89"/>
      <c r="AL821" s="89"/>
      <c r="AM821" s="89"/>
      <c r="AN821" s="89"/>
      <c r="AO821" s="89"/>
      <c r="AP821" s="89"/>
      <c r="AQ821" s="89"/>
      <c r="AR821" s="89"/>
      <c r="AS821" s="89"/>
      <c r="AT821" s="89"/>
      <c r="AU821" s="89"/>
      <c r="AV821" s="89"/>
      <c r="AW821" s="89"/>
      <c r="AX821" s="89"/>
      <c r="AY821" s="89"/>
      <c r="AZ821" s="89"/>
      <c r="BA821" s="89"/>
      <c r="BB821" s="89"/>
      <c r="BC821" s="89"/>
      <c r="BD821" s="89"/>
      <c r="BE821" s="89"/>
      <c r="BF821" s="89"/>
    </row>
    <row r="822" spans="1:58" s="14" customFormat="1" ht="14.1" customHeight="1">
      <c r="A822" s="412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  <c r="AA822" s="89"/>
      <c r="AB822" s="89"/>
      <c r="AC822" s="89"/>
      <c r="AD822" s="89"/>
      <c r="AE822" s="89"/>
      <c r="AF822" s="89"/>
      <c r="AG822" s="89"/>
      <c r="AH822" s="89"/>
      <c r="AI822" s="89"/>
      <c r="AJ822" s="89"/>
      <c r="AK822" s="89"/>
      <c r="AL822" s="89"/>
      <c r="AM822" s="89"/>
      <c r="AN822" s="89"/>
      <c r="AO822" s="89"/>
      <c r="AP822" s="89"/>
      <c r="AQ822" s="89"/>
      <c r="AR822" s="89"/>
      <c r="AS822" s="89"/>
      <c r="AT822" s="89"/>
      <c r="AU822" s="89"/>
      <c r="AV822" s="89"/>
      <c r="AW822" s="89"/>
      <c r="AX822" s="89"/>
      <c r="AY822" s="89"/>
      <c r="AZ822" s="89"/>
      <c r="BA822" s="89"/>
      <c r="BB822" s="89"/>
      <c r="BC822" s="89"/>
      <c r="BD822" s="89"/>
      <c r="BE822" s="89"/>
      <c r="BF822" s="89"/>
    </row>
    <row r="823" spans="1:58" s="14" customFormat="1" ht="14.1" customHeight="1">
      <c r="A823" s="412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  <c r="AA823" s="89"/>
      <c r="AB823" s="89"/>
      <c r="AC823" s="89"/>
      <c r="AD823" s="89"/>
      <c r="AE823" s="89"/>
      <c r="AF823" s="89"/>
      <c r="AG823" s="89"/>
      <c r="AH823" s="89"/>
      <c r="AI823" s="89"/>
      <c r="AJ823" s="89"/>
      <c r="AK823" s="89"/>
      <c r="AL823" s="89"/>
      <c r="AM823" s="89"/>
      <c r="AN823" s="89"/>
      <c r="AO823" s="89"/>
      <c r="AP823" s="89"/>
      <c r="AQ823" s="89"/>
      <c r="AR823" s="89"/>
      <c r="AS823" s="89"/>
      <c r="AT823" s="89"/>
      <c r="AU823" s="89"/>
      <c r="AV823" s="89"/>
      <c r="AW823" s="89"/>
      <c r="AX823" s="89"/>
      <c r="AY823" s="89"/>
      <c r="AZ823" s="89"/>
      <c r="BA823" s="89"/>
      <c r="BB823" s="89"/>
      <c r="BC823" s="89"/>
      <c r="BD823" s="89"/>
      <c r="BE823" s="89"/>
      <c r="BF823" s="89"/>
    </row>
    <row r="824" spans="1:58" s="14" customFormat="1" ht="14.1" customHeight="1">
      <c r="A824" s="412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  <c r="AA824" s="89"/>
      <c r="AB824" s="89"/>
      <c r="AC824" s="89"/>
      <c r="AD824" s="89"/>
      <c r="AE824" s="89"/>
      <c r="AF824" s="89"/>
      <c r="AG824" s="89"/>
      <c r="AH824" s="89"/>
      <c r="AI824" s="89"/>
      <c r="AJ824" s="89"/>
      <c r="AK824" s="89"/>
      <c r="AL824" s="89"/>
      <c r="AM824" s="89"/>
      <c r="AN824" s="89"/>
      <c r="AO824" s="89"/>
      <c r="AP824" s="89"/>
      <c r="AQ824" s="89"/>
      <c r="AR824" s="89"/>
      <c r="AS824" s="89"/>
      <c r="AT824" s="89"/>
      <c r="AU824" s="89"/>
      <c r="AV824" s="89"/>
      <c r="AW824" s="89"/>
      <c r="AX824" s="89"/>
      <c r="AY824" s="89"/>
      <c r="AZ824" s="89"/>
      <c r="BA824" s="89"/>
      <c r="BB824" s="89"/>
      <c r="BC824" s="89"/>
      <c r="BD824" s="89"/>
      <c r="BE824" s="89"/>
      <c r="BF824" s="89"/>
    </row>
    <row r="825" spans="1:58" s="14" customFormat="1" ht="14.1" customHeight="1">
      <c r="A825" s="412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  <c r="AA825" s="89"/>
      <c r="AB825" s="89"/>
      <c r="AC825" s="89"/>
      <c r="AD825" s="89"/>
      <c r="AE825" s="89"/>
      <c r="AF825" s="89"/>
      <c r="AG825" s="89"/>
      <c r="AH825" s="89"/>
      <c r="AI825" s="89"/>
      <c r="AJ825" s="89"/>
      <c r="AK825" s="89"/>
      <c r="AL825" s="89"/>
      <c r="AM825" s="89"/>
      <c r="AN825" s="89"/>
      <c r="AO825" s="89"/>
      <c r="AP825" s="89"/>
      <c r="AQ825" s="89"/>
      <c r="AR825" s="89"/>
      <c r="AS825" s="89"/>
      <c r="AT825" s="89"/>
      <c r="AU825" s="89"/>
      <c r="AV825" s="89"/>
      <c r="AW825" s="89"/>
      <c r="AX825" s="89"/>
      <c r="AY825" s="89"/>
      <c r="AZ825" s="89"/>
      <c r="BA825" s="89"/>
      <c r="BB825" s="89"/>
      <c r="BC825" s="89"/>
      <c r="BD825" s="89"/>
      <c r="BE825" s="89"/>
      <c r="BF825" s="89"/>
    </row>
    <row r="826" spans="1:58" s="14" customFormat="1" ht="14.1" customHeight="1">
      <c r="A826" s="412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  <c r="AA826" s="89"/>
      <c r="AB826" s="89"/>
      <c r="AC826" s="89"/>
      <c r="AD826" s="89"/>
      <c r="AE826" s="89"/>
      <c r="AF826" s="89"/>
      <c r="AG826" s="89"/>
      <c r="AH826" s="89"/>
      <c r="AI826" s="89"/>
      <c r="AJ826" s="89"/>
      <c r="AK826" s="89"/>
      <c r="AL826" s="89"/>
      <c r="AM826" s="89"/>
      <c r="AN826" s="89"/>
      <c r="AO826" s="89"/>
      <c r="AP826" s="89"/>
      <c r="AQ826" s="89"/>
      <c r="AR826" s="89"/>
      <c r="AS826" s="89"/>
      <c r="AT826" s="89"/>
      <c r="AU826" s="89"/>
      <c r="AV826" s="89"/>
      <c r="AW826" s="89"/>
      <c r="AX826" s="89"/>
      <c r="AY826" s="89"/>
      <c r="AZ826" s="89"/>
      <c r="BA826" s="89"/>
      <c r="BB826" s="89"/>
      <c r="BC826" s="89"/>
      <c r="BD826" s="89"/>
      <c r="BE826" s="89"/>
      <c r="BF826" s="89"/>
    </row>
    <row r="827" spans="1:58" s="14" customFormat="1" ht="14.1" customHeight="1">
      <c r="A827" s="412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  <c r="AA827" s="89"/>
      <c r="AB827" s="89"/>
      <c r="AC827" s="89"/>
      <c r="AD827" s="89"/>
      <c r="AE827" s="89"/>
      <c r="AF827" s="89"/>
      <c r="AG827" s="89"/>
      <c r="AH827" s="89"/>
      <c r="AI827" s="89"/>
      <c r="AJ827" s="89"/>
      <c r="AK827" s="89"/>
      <c r="AL827" s="89"/>
      <c r="AM827" s="89"/>
      <c r="AN827" s="89"/>
      <c r="AO827" s="89"/>
      <c r="AP827" s="89"/>
      <c r="AQ827" s="89"/>
      <c r="AR827" s="89"/>
      <c r="AS827" s="89"/>
      <c r="AT827" s="89"/>
      <c r="AU827" s="89"/>
      <c r="AV827" s="89"/>
      <c r="AW827" s="89"/>
      <c r="AX827" s="89"/>
      <c r="AY827" s="89"/>
      <c r="AZ827" s="89"/>
      <c r="BA827" s="89"/>
      <c r="BB827" s="89"/>
      <c r="BC827" s="89"/>
      <c r="BD827" s="89"/>
      <c r="BE827" s="89"/>
      <c r="BF827" s="89"/>
    </row>
    <row r="828" spans="1:58" s="14" customFormat="1" ht="14.1" customHeight="1">
      <c r="A828" s="412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  <c r="AA828" s="89"/>
      <c r="AB828" s="89"/>
      <c r="AC828" s="89"/>
      <c r="AD828" s="89"/>
      <c r="AE828" s="89"/>
      <c r="AF828" s="89"/>
      <c r="AG828" s="89"/>
      <c r="AH828" s="89"/>
      <c r="AI828" s="89"/>
      <c r="AJ828" s="89"/>
      <c r="AK828" s="89"/>
      <c r="AL828" s="89"/>
      <c r="AM828" s="89"/>
      <c r="AN828" s="89"/>
      <c r="AO828" s="89"/>
      <c r="AP828" s="89"/>
      <c r="AQ828" s="89"/>
      <c r="AR828" s="89"/>
      <c r="AS828" s="89"/>
      <c r="AT828" s="89"/>
      <c r="AU828" s="89"/>
      <c r="AV828" s="89"/>
      <c r="AW828" s="89"/>
      <c r="AX828" s="89"/>
      <c r="AY828" s="89"/>
      <c r="AZ828" s="89"/>
      <c r="BA828" s="89"/>
      <c r="BB828" s="89"/>
      <c r="BC828" s="89"/>
      <c r="BD828" s="89"/>
      <c r="BE828" s="89"/>
      <c r="BF828" s="89"/>
    </row>
    <row r="829" spans="1:58" s="14" customFormat="1" ht="14.1" customHeight="1">
      <c r="A829" s="412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  <c r="AA829" s="89"/>
      <c r="AB829" s="89"/>
      <c r="AC829" s="89"/>
      <c r="AD829" s="89"/>
      <c r="AE829" s="89"/>
      <c r="AF829" s="89"/>
      <c r="AG829" s="89"/>
      <c r="AH829" s="89"/>
      <c r="AI829" s="89"/>
      <c r="AJ829" s="89"/>
      <c r="AK829" s="89"/>
      <c r="AL829" s="89"/>
      <c r="AM829" s="89"/>
      <c r="AN829" s="89"/>
      <c r="AO829" s="89"/>
      <c r="AP829" s="89"/>
      <c r="AQ829" s="89"/>
      <c r="AR829" s="89"/>
      <c r="AS829" s="89"/>
      <c r="AT829" s="89"/>
      <c r="AU829" s="89"/>
      <c r="AV829" s="89"/>
      <c r="AW829" s="89"/>
      <c r="AX829" s="89"/>
      <c r="AY829" s="89"/>
      <c r="AZ829" s="89"/>
      <c r="BA829" s="89"/>
      <c r="BB829" s="89"/>
      <c r="BC829" s="89"/>
      <c r="BD829" s="89"/>
      <c r="BE829" s="89"/>
      <c r="BF829" s="89"/>
    </row>
    <row r="830" spans="1:58" s="14" customFormat="1" ht="14.1" customHeight="1">
      <c r="A830" s="412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  <c r="AA830" s="89"/>
      <c r="AB830" s="89"/>
      <c r="AC830" s="89"/>
      <c r="AD830" s="89"/>
      <c r="AE830" s="89"/>
      <c r="AF830" s="89"/>
      <c r="AG830" s="89"/>
      <c r="AH830" s="89"/>
      <c r="AI830" s="89"/>
      <c r="AJ830" s="89"/>
      <c r="AK830" s="89"/>
      <c r="AL830" s="89"/>
      <c r="AM830" s="89"/>
      <c r="AN830" s="89"/>
      <c r="AO830" s="89"/>
      <c r="AP830" s="89"/>
      <c r="AQ830" s="89"/>
      <c r="AR830" s="89"/>
      <c r="AS830" s="89"/>
      <c r="AT830" s="89"/>
      <c r="AU830" s="89"/>
      <c r="AV830" s="89"/>
      <c r="AW830" s="89"/>
      <c r="AX830" s="89"/>
      <c r="AY830" s="89"/>
      <c r="AZ830" s="89"/>
      <c r="BA830" s="89"/>
      <c r="BB830" s="89"/>
      <c r="BC830" s="89"/>
      <c r="BD830" s="89"/>
      <c r="BE830" s="89"/>
      <c r="BF830" s="89"/>
    </row>
    <row r="831" spans="1:58" s="14" customFormat="1" ht="14.1" customHeight="1">
      <c r="A831" s="412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  <c r="AA831" s="89"/>
      <c r="AB831" s="89"/>
      <c r="AC831" s="89"/>
      <c r="AD831" s="89"/>
      <c r="AE831" s="89"/>
      <c r="AF831" s="89"/>
      <c r="AG831" s="89"/>
      <c r="AH831" s="89"/>
      <c r="AI831" s="89"/>
      <c r="AJ831" s="89"/>
      <c r="AK831" s="89"/>
      <c r="AL831" s="89"/>
      <c r="AM831" s="89"/>
      <c r="AN831" s="89"/>
      <c r="AO831" s="89"/>
      <c r="AP831" s="89"/>
      <c r="AQ831" s="89"/>
      <c r="AR831" s="89"/>
      <c r="AS831" s="89"/>
      <c r="AT831" s="89"/>
      <c r="AU831" s="89"/>
      <c r="AV831" s="89"/>
      <c r="AW831" s="89"/>
      <c r="AX831" s="89"/>
      <c r="AY831" s="89"/>
      <c r="AZ831" s="89"/>
      <c r="BA831" s="89"/>
      <c r="BB831" s="89"/>
      <c r="BC831" s="89"/>
      <c r="BD831" s="89"/>
      <c r="BE831" s="89"/>
      <c r="BF831" s="89"/>
    </row>
    <row r="832" spans="1:58" s="14" customFormat="1" ht="14.1" customHeight="1">
      <c r="A832" s="412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  <c r="AA832" s="89"/>
      <c r="AB832" s="89"/>
      <c r="AC832" s="89"/>
      <c r="AD832" s="89"/>
      <c r="AE832" s="89"/>
      <c r="AF832" s="89"/>
      <c r="AG832" s="89"/>
      <c r="AH832" s="89"/>
      <c r="AI832" s="89"/>
      <c r="AJ832" s="89"/>
      <c r="AK832" s="89"/>
      <c r="AL832" s="89"/>
      <c r="AM832" s="89"/>
      <c r="AN832" s="89"/>
      <c r="AO832" s="89"/>
      <c r="AP832" s="89"/>
      <c r="AQ832" s="89"/>
      <c r="AR832" s="89"/>
      <c r="AS832" s="89"/>
      <c r="AT832" s="89"/>
      <c r="AU832" s="89"/>
      <c r="AV832" s="89"/>
      <c r="AW832" s="89"/>
      <c r="AX832" s="89"/>
      <c r="AY832" s="89"/>
      <c r="AZ832" s="89"/>
      <c r="BA832" s="89"/>
      <c r="BB832" s="89"/>
      <c r="BC832" s="89"/>
      <c r="BD832" s="89"/>
      <c r="BE832" s="89"/>
      <c r="BF832" s="89"/>
    </row>
    <row r="833" spans="1:58" s="14" customFormat="1" ht="14.1" customHeight="1">
      <c r="A833" s="412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  <c r="AA833" s="89"/>
      <c r="AB833" s="89"/>
      <c r="AC833" s="89"/>
      <c r="AD833" s="89"/>
      <c r="AE833" s="89"/>
      <c r="AF833" s="89"/>
      <c r="AG833" s="89"/>
      <c r="AH833" s="89"/>
      <c r="AI833" s="89"/>
      <c r="AJ833" s="89"/>
      <c r="AK833" s="89"/>
      <c r="AL833" s="89"/>
      <c r="AM833" s="89"/>
      <c r="AN833" s="89"/>
      <c r="AO833" s="89"/>
      <c r="AP833" s="89"/>
      <c r="AQ833" s="89"/>
      <c r="AR833" s="89"/>
      <c r="AS833" s="89"/>
      <c r="AT833" s="89"/>
      <c r="AU833" s="89"/>
      <c r="AV833" s="89"/>
      <c r="AW833" s="89"/>
      <c r="AX833" s="89"/>
      <c r="AY833" s="89"/>
      <c r="AZ833" s="89"/>
      <c r="BA833" s="89"/>
      <c r="BB833" s="89"/>
      <c r="BC833" s="89"/>
      <c r="BD833" s="89"/>
      <c r="BE833" s="89"/>
      <c r="BF833" s="89"/>
    </row>
    <row r="834" spans="1:58" s="14" customFormat="1" ht="14.1" customHeight="1">
      <c r="A834" s="412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  <c r="AA834" s="89"/>
      <c r="AB834" s="89"/>
      <c r="AC834" s="89"/>
      <c r="AD834" s="89"/>
      <c r="AE834" s="89"/>
      <c r="AF834" s="89"/>
      <c r="AG834" s="89"/>
      <c r="AH834" s="89"/>
      <c r="AI834" s="89"/>
      <c r="AJ834" s="89"/>
      <c r="AK834" s="89"/>
      <c r="AL834" s="89"/>
      <c r="AM834" s="89"/>
      <c r="AN834" s="89"/>
      <c r="AO834" s="89"/>
      <c r="AP834" s="89"/>
      <c r="AQ834" s="89"/>
      <c r="AR834" s="89"/>
      <c r="AS834" s="89"/>
      <c r="AT834" s="89"/>
      <c r="AU834" s="89"/>
      <c r="AV834" s="89"/>
      <c r="AW834" s="89"/>
      <c r="AX834" s="89"/>
      <c r="AY834" s="89"/>
      <c r="AZ834" s="89"/>
      <c r="BA834" s="89"/>
      <c r="BB834" s="89"/>
      <c r="BC834" s="89"/>
      <c r="BD834" s="89"/>
      <c r="BE834" s="89"/>
      <c r="BF834" s="89"/>
    </row>
    <row r="835" spans="1:58" s="14" customFormat="1" ht="14.1" customHeight="1">
      <c r="A835" s="412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  <c r="AA835" s="89"/>
      <c r="AB835" s="89"/>
      <c r="AC835" s="89"/>
      <c r="AD835" s="89"/>
      <c r="AE835" s="89"/>
      <c r="AF835" s="89"/>
      <c r="AG835" s="89"/>
      <c r="AH835" s="89"/>
      <c r="AI835" s="89"/>
      <c r="AJ835" s="89"/>
      <c r="AK835" s="89"/>
      <c r="AL835" s="89"/>
      <c r="AM835" s="89"/>
      <c r="AN835" s="89"/>
      <c r="AO835" s="89"/>
      <c r="AP835" s="89"/>
      <c r="AQ835" s="89"/>
      <c r="AR835" s="89"/>
      <c r="AS835" s="89"/>
      <c r="AT835" s="89"/>
      <c r="AU835" s="89"/>
      <c r="AV835" s="89"/>
      <c r="AW835" s="89"/>
      <c r="AX835" s="89"/>
      <c r="AY835" s="89"/>
      <c r="AZ835" s="89"/>
      <c r="BA835" s="89"/>
      <c r="BB835" s="89"/>
      <c r="BC835" s="89"/>
      <c r="BD835" s="89"/>
      <c r="BE835" s="89"/>
      <c r="BF835" s="89"/>
    </row>
    <row r="836" spans="1:58" s="14" customFormat="1" ht="14.1" customHeight="1">
      <c r="A836" s="412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  <c r="AA836" s="89"/>
      <c r="AB836" s="89"/>
      <c r="AC836" s="89"/>
      <c r="AD836" s="89"/>
      <c r="AE836" s="89"/>
      <c r="AF836" s="89"/>
      <c r="AG836" s="89"/>
      <c r="AH836" s="89"/>
      <c r="AI836" s="89"/>
      <c r="AJ836" s="89"/>
      <c r="AK836" s="89"/>
      <c r="AL836" s="89"/>
      <c r="AM836" s="89"/>
      <c r="AN836" s="89"/>
      <c r="AO836" s="89"/>
      <c r="AP836" s="89"/>
      <c r="AQ836" s="89"/>
      <c r="AR836" s="89"/>
      <c r="AS836" s="89"/>
      <c r="AT836" s="89"/>
      <c r="AU836" s="89"/>
      <c r="AV836" s="89"/>
      <c r="AW836" s="89"/>
      <c r="AX836" s="89"/>
      <c r="AY836" s="89"/>
      <c r="AZ836" s="89"/>
      <c r="BA836" s="89"/>
      <c r="BB836" s="89"/>
      <c r="BC836" s="89"/>
      <c r="BD836" s="89"/>
      <c r="BE836" s="89"/>
      <c r="BF836" s="89"/>
    </row>
    <row r="837" spans="1:58" s="14" customFormat="1" ht="14.1" customHeight="1">
      <c r="A837" s="412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  <c r="AA837" s="89"/>
      <c r="AB837" s="89"/>
      <c r="AC837" s="89"/>
      <c r="AD837" s="89"/>
      <c r="AE837" s="89"/>
      <c r="AF837" s="89"/>
      <c r="AG837" s="89"/>
      <c r="AH837" s="89"/>
      <c r="AI837" s="89"/>
      <c r="AJ837" s="89"/>
      <c r="AK837" s="89"/>
      <c r="AL837" s="89"/>
      <c r="AM837" s="89"/>
      <c r="AN837" s="89"/>
      <c r="AO837" s="89"/>
      <c r="AP837" s="89"/>
      <c r="AQ837" s="89"/>
      <c r="AR837" s="89"/>
      <c r="AS837" s="89"/>
      <c r="AT837" s="89"/>
      <c r="AU837" s="89"/>
      <c r="AV837" s="89"/>
      <c r="AW837" s="89"/>
      <c r="AX837" s="89"/>
      <c r="AY837" s="89"/>
      <c r="AZ837" s="89"/>
      <c r="BA837" s="89"/>
      <c r="BB837" s="89"/>
      <c r="BC837" s="89"/>
      <c r="BD837" s="89"/>
      <c r="BE837" s="89"/>
      <c r="BF837" s="89"/>
    </row>
    <row r="838" spans="1:58" s="14" customFormat="1" ht="14.1" customHeight="1">
      <c r="A838" s="412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  <c r="AA838" s="89"/>
      <c r="AB838" s="89"/>
      <c r="AC838" s="89"/>
      <c r="AD838" s="89"/>
      <c r="AE838" s="89"/>
      <c r="AF838" s="89"/>
      <c r="AG838" s="89"/>
      <c r="AH838" s="89"/>
      <c r="AI838" s="89"/>
      <c r="AJ838" s="89"/>
      <c r="AK838" s="89"/>
      <c r="AL838" s="89"/>
      <c r="AM838" s="89"/>
      <c r="AN838" s="89"/>
      <c r="AO838" s="89"/>
      <c r="AP838" s="89"/>
      <c r="AQ838" s="89"/>
      <c r="AR838" s="89"/>
      <c r="AS838" s="89"/>
      <c r="AT838" s="89"/>
      <c r="AU838" s="89"/>
      <c r="AV838" s="89"/>
      <c r="AW838" s="89"/>
      <c r="AX838" s="89"/>
      <c r="AY838" s="89"/>
      <c r="AZ838" s="89"/>
      <c r="BA838" s="89"/>
      <c r="BB838" s="89"/>
      <c r="BC838" s="89"/>
      <c r="BD838" s="89"/>
      <c r="BE838" s="89"/>
      <c r="BF838" s="89"/>
    </row>
    <row r="839" spans="1:58" s="14" customFormat="1" ht="14.1" customHeight="1">
      <c r="A839" s="412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  <c r="AA839" s="89"/>
      <c r="AB839" s="89"/>
      <c r="AC839" s="89"/>
      <c r="AD839" s="89"/>
      <c r="AE839" s="89"/>
      <c r="AF839" s="89"/>
      <c r="AG839" s="89"/>
      <c r="AH839" s="89"/>
      <c r="AI839" s="89"/>
      <c r="AJ839" s="89"/>
      <c r="AK839" s="89"/>
      <c r="AL839" s="89"/>
      <c r="AM839" s="89"/>
      <c r="AN839" s="89"/>
      <c r="AO839" s="89"/>
      <c r="AP839" s="89"/>
      <c r="AQ839" s="89"/>
      <c r="AR839" s="89"/>
      <c r="AS839" s="89"/>
      <c r="AT839" s="89"/>
      <c r="AU839" s="89"/>
      <c r="AV839" s="89"/>
      <c r="AW839" s="89"/>
      <c r="AX839" s="89"/>
      <c r="AY839" s="89"/>
      <c r="AZ839" s="89"/>
      <c r="BA839" s="89"/>
      <c r="BB839" s="89"/>
      <c r="BC839" s="89"/>
      <c r="BD839" s="89"/>
      <c r="BE839" s="89"/>
      <c r="BF839" s="89"/>
    </row>
    <row r="840" spans="1:58" s="14" customFormat="1" ht="14.1" customHeight="1">
      <c r="A840" s="412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  <c r="AA840" s="89"/>
      <c r="AB840" s="89"/>
      <c r="AC840" s="89"/>
      <c r="AD840" s="89"/>
      <c r="AE840" s="89"/>
      <c r="AF840" s="89"/>
      <c r="AG840" s="89"/>
      <c r="AH840" s="89"/>
      <c r="AI840" s="89"/>
      <c r="AJ840" s="89"/>
      <c r="AK840" s="89"/>
      <c r="AL840" s="89"/>
      <c r="AM840" s="89"/>
      <c r="AN840" s="89"/>
      <c r="AO840" s="89"/>
      <c r="AP840" s="89"/>
      <c r="AQ840" s="89"/>
      <c r="AR840" s="89"/>
      <c r="AS840" s="89"/>
      <c r="AT840" s="89"/>
      <c r="AU840" s="89"/>
      <c r="AV840" s="89"/>
      <c r="AW840" s="89"/>
      <c r="AX840" s="89"/>
      <c r="AY840" s="89"/>
      <c r="AZ840" s="89"/>
      <c r="BA840" s="89"/>
      <c r="BB840" s="89"/>
      <c r="BC840" s="89"/>
      <c r="BD840" s="89"/>
      <c r="BE840" s="89"/>
      <c r="BF840" s="89"/>
    </row>
    <row r="841" spans="1:58" s="14" customFormat="1" ht="14.1" customHeight="1">
      <c r="A841" s="412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  <c r="AA841" s="89"/>
      <c r="AB841" s="89"/>
      <c r="AC841" s="89"/>
      <c r="AD841" s="89"/>
      <c r="AE841" s="89"/>
      <c r="AF841" s="89"/>
      <c r="AG841" s="89"/>
      <c r="AH841" s="89"/>
      <c r="AI841" s="89"/>
      <c r="AJ841" s="89"/>
      <c r="AK841" s="89"/>
      <c r="AL841" s="89"/>
      <c r="AM841" s="89"/>
      <c r="AN841" s="89"/>
      <c r="AO841" s="89"/>
      <c r="AP841" s="89"/>
      <c r="AQ841" s="89"/>
      <c r="AR841" s="89"/>
      <c r="AS841" s="89"/>
      <c r="AT841" s="89"/>
      <c r="AU841" s="89"/>
      <c r="AV841" s="89"/>
      <c r="AW841" s="89"/>
      <c r="AX841" s="89"/>
      <c r="AY841" s="89"/>
      <c r="AZ841" s="89"/>
      <c r="BA841" s="89"/>
      <c r="BB841" s="89"/>
      <c r="BC841" s="89"/>
      <c r="BD841" s="89"/>
      <c r="BE841" s="89"/>
      <c r="BF841" s="89"/>
    </row>
    <row r="842" spans="1:58" s="14" customFormat="1" ht="14.1" customHeight="1">
      <c r="A842" s="412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  <c r="AA842" s="89"/>
      <c r="AB842" s="89"/>
      <c r="AC842" s="89"/>
      <c r="AD842" s="89"/>
      <c r="AE842" s="89"/>
      <c r="AF842" s="89"/>
      <c r="AG842" s="89"/>
      <c r="AH842" s="89"/>
      <c r="AI842" s="89"/>
      <c r="AJ842" s="89"/>
      <c r="AK842" s="89"/>
      <c r="AL842" s="89"/>
      <c r="AM842" s="89"/>
      <c r="AN842" s="89"/>
      <c r="AO842" s="89"/>
      <c r="AP842" s="89"/>
      <c r="AQ842" s="89"/>
      <c r="AR842" s="89"/>
      <c r="AS842" s="89"/>
      <c r="AT842" s="89"/>
      <c r="AU842" s="89"/>
      <c r="AV842" s="89"/>
      <c r="AW842" s="89"/>
      <c r="AX842" s="89"/>
      <c r="AY842" s="89"/>
      <c r="AZ842" s="89"/>
      <c r="BA842" s="89"/>
      <c r="BB842" s="89"/>
      <c r="BC842" s="89"/>
      <c r="BD842" s="89"/>
      <c r="BE842" s="89"/>
      <c r="BF842" s="89"/>
    </row>
    <row r="843" spans="1:58" s="14" customFormat="1" ht="14.1" customHeight="1">
      <c r="A843" s="412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  <c r="AA843" s="89"/>
      <c r="AB843" s="89"/>
      <c r="AC843" s="89"/>
      <c r="AD843" s="89"/>
      <c r="AE843" s="89"/>
      <c r="AF843" s="89"/>
      <c r="AG843" s="89"/>
      <c r="AH843" s="89"/>
      <c r="AI843" s="89"/>
      <c r="AJ843" s="89"/>
      <c r="AK843" s="89"/>
      <c r="AL843" s="89"/>
      <c r="AM843" s="89"/>
      <c r="AN843" s="89"/>
      <c r="AO843" s="89"/>
      <c r="AP843" s="89"/>
      <c r="AQ843" s="89"/>
      <c r="AR843" s="89"/>
      <c r="AS843" s="89"/>
      <c r="AT843" s="89"/>
      <c r="AU843" s="89"/>
      <c r="AV843" s="89"/>
      <c r="AW843" s="89"/>
      <c r="AX843" s="89"/>
      <c r="AY843" s="89"/>
      <c r="AZ843" s="89"/>
      <c r="BA843" s="89"/>
      <c r="BB843" s="89"/>
      <c r="BC843" s="89"/>
      <c r="BD843" s="89"/>
      <c r="BE843" s="89"/>
      <c r="BF843" s="89"/>
    </row>
    <row r="844" spans="1:58" s="14" customFormat="1" ht="14.1" customHeight="1">
      <c r="A844" s="412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  <c r="AA844" s="89"/>
      <c r="AB844" s="89"/>
      <c r="AC844" s="89"/>
      <c r="AD844" s="89"/>
      <c r="AE844" s="89"/>
      <c r="AF844" s="89"/>
      <c r="AG844" s="89"/>
      <c r="AH844" s="89"/>
      <c r="AI844" s="89"/>
      <c r="AJ844" s="89"/>
      <c r="AK844" s="89"/>
      <c r="AL844" s="89"/>
      <c r="AM844" s="89"/>
      <c r="AN844" s="89"/>
      <c r="AO844" s="89"/>
      <c r="AP844" s="89"/>
      <c r="AQ844" s="89"/>
      <c r="AR844" s="89"/>
      <c r="AS844" s="89"/>
      <c r="AT844" s="89"/>
      <c r="AU844" s="89"/>
      <c r="AV844" s="89"/>
      <c r="AW844" s="89"/>
      <c r="AX844" s="89"/>
      <c r="AY844" s="89"/>
      <c r="AZ844" s="89"/>
      <c r="BA844" s="89"/>
      <c r="BB844" s="89"/>
      <c r="BC844" s="89"/>
      <c r="BD844" s="89"/>
      <c r="BE844" s="89"/>
      <c r="BF844" s="89"/>
    </row>
    <row r="845" spans="1:58" s="14" customFormat="1" ht="14.1" customHeight="1">
      <c r="A845" s="412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  <c r="AA845" s="89"/>
      <c r="AB845" s="89"/>
      <c r="AC845" s="89"/>
      <c r="AD845" s="89"/>
      <c r="AE845" s="89"/>
      <c r="AF845" s="89"/>
      <c r="AG845" s="89"/>
      <c r="AH845" s="89"/>
      <c r="AI845" s="89"/>
      <c r="AJ845" s="89"/>
      <c r="AK845" s="89"/>
      <c r="AL845" s="89"/>
      <c r="AM845" s="89"/>
      <c r="AN845" s="89"/>
      <c r="AO845" s="89"/>
      <c r="AP845" s="89"/>
      <c r="AQ845" s="89"/>
      <c r="AR845" s="89"/>
      <c r="AS845" s="89"/>
      <c r="AT845" s="89"/>
      <c r="AU845" s="89"/>
      <c r="AV845" s="89"/>
      <c r="AW845" s="89"/>
      <c r="AX845" s="89"/>
      <c r="AY845" s="89"/>
      <c r="AZ845" s="89"/>
      <c r="BA845" s="89"/>
      <c r="BB845" s="89"/>
      <c r="BC845" s="89"/>
      <c r="BD845" s="89"/>
      <c r="BE845" s="89"/>
      <c r="BF845" s="89"/>
    </row>
    <row r="846" spans="1:58" s="14" customFormat="1" ht="14.1" customHeight="1">
      <c r="A846" s="412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  <c r="AA846" s="89"/>
      <c r="AB846" s="89"/>
      <c r="AC846" s="89"/>
      <c r="AD846" s="89"/>
      <c r="AE846" s="89"/>
      <c r="AF846" s="89"/>
      <c r="AG846" s="89"/>
      <c r="AH846" s="89"/>
      <c r="AI846" s="89"/>
      <c r="AJ846" s="89"/>
      <c r="AK846" s="89"/>
      <c r="AL846" s="89"/>
      <c r="AM846" s="89"/>
      <c r="AN846" s="89"/>
      <c r="AO846" s="89"/>
      <c r="AP846" s="89"/>
      <c r="AQ846" s="89"/>
      <c r="AR846" s="89"/>
      <c r="AS846" s="89"/>
      <c r="AT846" s="89"/>
      <c r="AU846" s="89"/>
      <c r="AV846" s="89"/>
      <c r="AW846" s="89"/>
      <c r="AX846" s="89"/>
      <c r="AY846" s="89"/>
      <c r="AZ846" s="89"/>
      <c r="BA846" s="89"/>
      <c r="BB846" s="89"/>
      <c r="BC846" s="89"/>
      <c r="BD846" s="89"/>
      <c r="BE846" s="89"/>
      <c r="BF846" s="89"/>
    </row>
    <row r="847" spans="1:58" s="14" customFormat="1" ht="14.1" customHeight="1">
      <c r="A847" s="412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  <c r="AA847" s="89"/>
      <c r="AB847" s="89"/>
      <c r="AC847" s="89"/>
      <c r="AD847" s="89"/>
      <c r="AE847" s="89"/>
      <c r="AF847" s="89"/>
      <c r="AG847" s="89"/>
      <c r="AH847" s="89"/>
      <c r="AI847" s="89"/>
      <c r="AJ847" s="89"/>
      <c r="AK847" s="89"/>
      <c r="AL847" s="89"/>
      <c r="AM847" s="89"/>
      <c r="AN847" s="89"/>
      <c r="AO847" s="89"/>
      <c r="AP847" s="89"/>
      <c r="AQ847" s="89"/>
      <c r="AR847" s="89"/>
      <c r="AS847" s="89"/>
      <c r="AT847" s="89"/>
      <c r="AU847" s="89"/>
      <c r="AV847" s="89"/>
      <c r="AW847" s="89"/>
      <c r="AX847" s="89"/>
      <c r="AY847" s="89"/>
      <c r="AZ847" s="89"/>
      <c r="BA847" s="89"/>
      <c r="BB847" s="89"/>
      <c r="BC847" s="89"/>
      <c r="BD847" s="89"/>
      <c r="BE847" s="89"/>
      <c r="BF847" s="89"/>
    </row>
    <row r="848" spans="1:58" s="14" customFormat="1" ht="14.1" customHeight="1">
      <c r="A848" s="412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  <c r="AA848" s="89"/>
      <c r="AB848" s="89"/>
      <c r="AC848" s="89"/>
      <c r="AD848" s="89"/>
      <c r="AE848" s="89"/>
      <c r="AF848" s="89"/>
      <c r="AG848" s="89"/>
      <c r="AH848" s="89"/>
      <c r="AI848" s="89"/>
      <c r="AJ848" s="89"/>
      <c r="AK848" s="89"/>
      <c r="AL848" s="89"/>
      <c r="AM848" s="89"/>
      <c r="AN848" s="89"/>
      <c r="AO848" s="89"/>
      <c r="AP848" s="89"/>
      <c r="AQ848" s="89"/>
      <c r="AR848" s="89"/>
      <c r="AS848" s="89"/>
      <c r="AT848" s="89"/>
      <c r="AU848" s="89"/>
      <c r="AV848" s="89"/>
      <c r="AW848" s="89"/>
      <c r="AX848" s="89"/>
      <c r="AY848" s="89"/>
      <c r="AZ848" s="89"/>
      <c r="BA848" s="89"/>
      <c r="BB848" s="89"/>
      <c r="BC848" s="89"/>
      <c r="BD848" s="89"/>
      <c r="BE848" s="89"/>
      <c r="BF848" s="89"/>
    </row>
    <row r="849" spans="1:58" s="14" customFormat="1" ht="14.1" customHeight="1">
      <c r="A849" s="412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  <c r="AA849" s="89"/>
      <c r="AB849" s="89"/>
      <c r="AC849" s="89"/>
      <c r="AD849" s="89"/>
      <c r="AE849" s="89"/>
      <c r="AF849" s="89"/>
      <c r="AG849" s="89"/>
      <c r="AH849" s="89"/>
      <c r="AI849" s="89"/>
      <c r="AJ849" s="89"/>
      <c r="AK849" s="89"/>
      <c r="AL849" s="89"/>
      <c r="AM849" s="89"/>
      <c r="AN849" s="89"/>
      <c r="AO849" s="89"/>
      <c r="AP849" s="89"/>
      <c r="AQ849" s="89"/>
      <c r="AR849" s="89"/>
      <c r="AS849" s="89"/>
      <c r="AT849" s="89"/>
      <c r="AU849" s="89"/>
      <c r="AV849" s="89"/>
      <c r="AW849" s="89"/>
      <c r="AX849" s="89"/>
      <c r="AY849" s="89"/>
      <c r="AZ849" s="89"/>
      <c r="BA849" s="89"/>
      <c r="BB849" s="89"/>
      <c r="BC849" s="89"/>
      <c r="BD849" s="89"/>
      <c r="BE849" s="89"/>
      <c r="BF849" s="89"/>
    </row>
    <row r="850" spans="1:58" s="14" customFormat="1" ht="14.1" customHeight="1">
      <c r="A850" s="412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  <c r="AA850" s="89"/>
      <c r="AB850" s="89"/>
      <c r="AC850" s="89"/>
      <c r="AD850" s="89"/>
      <c r="AE850" s="89"/>
      <c r="AF850" s="89"/>
      <c r="AG850" s="89"/>
      <c r="AH850" s="89"/>
      <c r="AI850" s="89"/>
      <c r="AJ850" s="89"/>
      <c r="AK850" s="89"/>
      <c r="AL850" s="89"/>
      <c r="AM850" s="89"/>
      <c r="AN850" s="89"/>
      <c r="AO850" s="89"/>
      <c r="AP850" s="89"/>
      <c r="AQ850" s="89"/>
      <c r="AR850" s="89"/>
      <c r="AS850" s="89"/>
      <c r="AT850" s="89"/>
      <c r="AU850" s="89"/>
      <c r="AV850" s="89"/>
      <c r="AW850" s="89"/>
      <c r="AX850" s="89"/>
      <c r="AY850" s="89"/>
      <c r="AZ850" s="89"/>
      <c r="BA850" s="89"/>
      <c r="BB850" s="89"/>
      <c r="BC850" s="89"/>
      <c r="BD850" s="89"/>
      <c r="BE850" s="89"/>
      <c r="BF850" s="89"/>
    </row>
    <row r="851" spans="1:58" s="14" customFormat="1" ht="14.1" customHeight="1">
      <c r="A851" s="412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  <c r="AA851" s="89"/>
      <c r="AB851" s="89"/>
      <c r="AC851" s="89"/>
      <c r="AD851" s="89"/>
      <c r="AE851" s="89"/>
      <c r="AF851" s="89"/>
      <c r="AG851" s="89"/>
      <c r="AH851" s="89"/>
      <c r="AI851" s="89"/>
      <c r="AJ851" s="89"/>
      <c r="AK851" s="89"/>
      <c r="AL851" s="89"/>
      <c r="AM851" s="89"/>
      <c r="AN851" s="89"/>
      <c r="AO851" s="89"/>
      <c r="AP851" s="89"/>
      <c r="AQ851" s="89"/>
      <c r="AR851" s="89"/>
      <c r="AS851" s="89"/>
      <c r="AT851" s="89"/>
      <c r="AU851" s="89"/>
      <c r="AV851" s="89"/>
      <c r="AW851" s="89"/>
      <c r="AX851" s="89"/>
      <c r="AY851" s="89"/>
      <c r="AZ851" s="89"/>
      <c r="BA851" s="89"/>
      <c r="BB851" s="89"/>
      <c r="BC851" s="89"/>
      <c r="BD851" s="89"/>
      <c r="BE851" s="89"/>
      <c r="BF851" s="89"/>
    </row>
    <row r="852" spans="1:58" s="14" customFormat="1" ht="14.1" customHeight="1">
      <c r="A852" s="412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  <c r="AA852" s="89"/>
      <c r="AB852" s="89"/>
      <c r="AC852" s="89"/>
      <c r="AD852" s="89"/>
      <c r="AE852" s="89"/>
      <c r="AF852" s="89"/>
      <c r="AG852" s="89"/>
      <c r="AH852" s="89"/>
      <c r="AI852" s="89"/>
      <c r="AJ852" s="89"/>
      <c r="AK852" s="89"/>
      <c r="AL852" s="89"/>
      <c r="AM852" s="89"/>
      <c r="AN852" s="89"/>
      <c r="AO852" s="89"/>
      <c r="AP852" s="89"/>
      <c r="AQ852" s="89"/>
      <c r="AR852" s="89"/>
      <c r="AS852" s="89"/>
      <c r="AT852" s="89"/>
      <c r="AU852" s="89"/>
      <c r="AV852" s="89"/>
      <c r="AW852" s="89"/>
      <c r="AX852" s="89"/>
      <c r="AY852" s="89"/>
      <c r="AZ852" s="89"/>
      <c r="BA852" s="89"/>
      <c r="BB852" s="89"/>
      <c r="BC852" s="89"/>
      <c r="BD852" s="89"/>
      <c r="BE852" s="89"/>
      <c r="BF852" s="89"/>
    </row>
    <row r="853" spans="1:58" s="14" customFormat="1" ht="14.1" customHeight="1">
      <c r="A853" s="412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  <c r="AA853" s="89"/>
      <c r="AB853" s="89"/>
      <c r="AC853" s="89"/>
      <c r="AD853" s="89"/>
      <c r="AE853" s="89"/>
      <c r="AF853" s="89"/>
      <c r="AG853" s="89"/>
      <c r="AH853" s="89"/>
      <c r="AI853" s="89"/>
      <c r="AJ853" s="89"/>
      <c r="AK853" s="89"/>
      <c r="AL853" s="89"/>
      <c r="AM853" s="89"/>
      <c r="AN853" s="89"/>
      <c r="AO853" s="89"/>
      <c r="AP853" s="89"/>
      <c r="AQ853" s="89"/>
      <c r="AR853" s="89"/>
      <c r="AS853" s="89"/>
      <c r="AT853" s="89"/>
      <c r="AU853" s="89"/>
      <c r="AV853" s="89"/>
      <c r="AW853" s="89"/>
      <c r="AX853" s="89"/>
      <c r="AY853" s="89"/>
      <c r="AZ853" s="89"/>
      <c r="BA853" s="89"/>
      <c r="BB853" s="89"/>
      <c r="BC853" s="89"/>
      <c r="BD853" s="89"/>
      <c r="BE853" s="89"/>
      <c r="BF853" s="89"/>
    </row>
    <row r="854" spans="1:58" s="14" customFormat="1" ht="14.1" customHeight="1">
      <c r="A854" s="412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  <c r="AA854" s="89"/>
      <c r="AB854" s="89"/>
      <c r="AC854" s="89"/>
      <c r="AD854" s="89"/>
      <c r="AE854" s="89"/>
      <c r="AF854" s="89"/>
      <c r="AG854" s="89"/>
      <c r="AH854" s="89"/>
      <c r="AI854" s="89"/>
      <c r="AJ854" s="89"/>
      <c r="AK854" s="89"/>
      <c r="AL854" s="89"/>
      <c r="AM854" s="89"/>
      <c r="AN854" s="89"/>
      <c r="AO854" s="89"/>
      <c r="AP854" s="89"/>
      <c r="AQ854" s="89"/>
      <c r="AR854" s="89"/>
      <c r="AS854" s="89"/>
      <c r="AT854" s="89"/>
      <c r="AU854" s="89"/>
      <c r="AV854" s="89"/>
      <c r="AW854" s="89"/>
      <c r="AX854" s="89"/>
      <c r="AY854" s="89"/>
      <c r="AZ854" s="89"/>
      <c r="BA854" s="89"/>
      <c r="BB854" s="89"/>
      <c r="BC854" s="89"/>
      <c r="BD854" s="89"/>
      <c r="BE854" s="89"/>
      <c r="BF854" s="89"/>
    </row>
    <row r="855" spans="1:58" s="14" customFormat="1" ht="14.1" customHeight="1">
      <c r="A855" s="412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  <c r="AA855" s="89"/>
      <c r="AB855" s="89"/>
      <c r="AC855" s="89"/>
      <c r="AD855" s="89"/>
      <c r="AE855" s="89"/>
      <c r="AF855" s="89"/>
      <c r="AG855" s="89"/>
      <c r="AH855" s="89"/>
      <c r="AI855" s="89"/>
      <c r="AJ855" s="89"/>
      <c r="AK855" s="89"/>
      <c r="AL855" s="89"/>
      <c r="AM855" s="89"/>
      <c r="AN855" s="89"/>
      <c r="AO855" s="89"/>
      <c r="AP855" s="89"/>
      <c r="AQ855" s="89"/>
      <c r="AR855" s="89"/>
      <c r="AS855" s="89"/>
      <c r="AT855" s="89"/>
      <c r="AU855" s="89"/>
      <c r="AV855" s="89"/>
      <c r="AW855" s="89"/>
      <c r="AX855" s="89"/>
      <c r="AY855" s="89"/>
      <c r="AZ855" s="89"/>
      <c r="BA855" s="89"/>
      <c r="BB855" s="89"/>
      <c r="BC855" s="89"/>
      <c r="BD855" s="89"/>
      <c r="BE855" s="89"/>
      <c r="BF855" s="89"/>
    </row>
    <row r="856" spans="1:58" s="14" customFormat="1" ht="14.1" customHeight="1">
      <c r="A856" s="412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  <c r="AA856" s="89"/>
      <c r="AB856" s="89"/>
      <c r="AC856" s="89"/>
      <c r="AD856" s="89"/>
      <c r="AE856" s="89"/>
      <c r="AF856" s="89"/>
      <c r="AG856" s="89"/>
      <c r="AH856" s="89"/>
      <c r="AI856" s="89"/>
      <c r="AJ856" s="89"/>
      <c r="AK856" s="89"/>
      <c r="AL856" s="89"/>
      <c r="AM856" s="89"/>
      <c r="AN856" s="89"/>
      <c r="AO856" s="89"/>
      <c r="AP856" s="89"/>
      <c r="AQ856" s="89"/>
      <c r="AR856" s="89"/>
      <c r="AS856" s="89"/>
      <c r="AT856" s="89"/>
      <c r="AU856" s="89"/>
      <c r="AV856" s="89"/>
      <c r="AW856" s="89"/>
      <c r="AX856" s="89"/>
      <c r="AY856" s="89"/>
      <c r="AZ856" s="89"/>
      <c r="BA856" s="89"/>
      <c r="BB856" s="89"/>
      <c r="BC856" s="89"/>
      <c r="BD856" s="89"/>
      <c r="BE856" s="89"/>
      <c r="BF856" s="89"/>
    </row>
    <row r="857" spans="1:58" s="14" customFormat="1" ht="14.1" customHeight="1">
      <c r="A857" s="412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  <c r="AA857" s="89"/>
      <c r="AB857" s="89"/>
      <c r="AC857" s="89"/>
      <c r="AD857" s="89"/>
      <c r="AE857" s="89"/>
      <c r="AF857" s="89"/>
      <c r="AG857" s="89"/>
      <c r="AH857" s="89"/>
      <c r="AI857" s="89"/>
      <c r="AJ857" s="89"/>
      <c r="AK857" s="89"/>
      <c r="AL857" s="89"/>
      <c r="AM857" s="89"/>
      <c r="AN857" s="89"/>
      <c r="AO857" s="89"/>
      <c r="AP857" s="89"/>
      <c r="AQ857" s="89"/>
      <c r="AR857" s="89"/>
      <c r="AS857" s="89"/>
      <c r="AT857" s="89"/>
      <c r="AU857" s="89"/>
      <c r="AV857" s="89"/>
      <c r="AW857" s="89"/>
      <c r="AX857" s="89"/>
      <c r="AY857" s="89"/>
      <c r="AZ857" s="89"/>
      <c r="BA857" s="89"/>
      <c r="BB857" s="89"/>
      <c r="BC857" s="89"/>
      <c r="BD857" s="89"/>
      <c r="BE857" s="89"/>
      <c r="BF857" s="89"/>
    </row>
    <row r="858" spans="1:58" s="14" customFormat="1" ht="14.1" customHeight="1">
      <c r="A858" s="412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  <c r="AA858" s="89"/>
      <c r="AB858" s="89"/>
      <c r="AC858" s="89"/>
      <c r="AD858" s="89"/>
      <c r="AE858" s="89"/>
      <c r="AF858" s="89"/>
      <c r="AG858" s="89"/>
      <c r="AH858" s="89"/>
      <c r="AI858" s="89"/>
      <c r="AJ858" s="89"/>
      <c r="AK858" s="89"/>
      <c r="AL858" s="89"/>
      <c r="AM858" s="89"/>
      <c r="AN858" s="89"/>
      <c r="AO858" s="89"/>
      <c r="AP858" s="89"/>
      <c r="AQ858" s="89"/>
      <c r="AR858" s="89"/>
      <c r="AS858" s="89"/>
      <c r="AT858" s="89"/>
      <c r="AU858" s="89"/>
      <c r="AV858" s="89"/>
      <c r="AW858" s="89"/>
      <c r="AX858" s="89"/>
      <c r="AY858" s="89"/>
      <c r="AZ858" s="89"/>
      <c r="BA858" s="89"/>
      <c r="BB858" s="89"/>
      <c r="BC858" s="89"/>
      <c r="BD858" s="89"/>
      <c r="BE858" s="89"/>
      <c r="BF858" s="89"/>
    </row>
    <row r="859" spans="1:58" s="14" customFormat="1" ht="14.1" customHeight="1">
      <c r="A859" s="412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  <c r="AA859" s="89"/>
      <c r="AB859" s="89"/>
      <c r="AC859" s="89"/>
      <c r="AD859" s="89"/>
      <c r="AE859" s="89"/>
      <c r="AF859" s="89"/>
      <c r="AG859" s="89"/>
      <c r="AH859" s="89"/>
      <c r="AI859" s="89"/>
      <c r="AJ859" s="89"/>
      <c r="AK859" s="89"/>
      <c r="AL859" s="89"/>
      <c r="AM859" s="89"/>
      <c r="AN859" s="89"/>
      <c r="AO859" s="89"/>
      <c r="AP859" s="89"/>
      <c r="AQ859" s="89"/>
      <c r="AR859" s="89"/>
      <c r="AS859" s="89"/>
      <c r="AT859" s="89"/>
      <c r="AU859" s="89"/>
      <c r="AV859" s="89"/>
      <c r="AW859" s="89"/>
      <c r="AX859" s="89"/>
      <c r="AY859" s="89"/>
      <c r="AZ859" s="89"/>
      <c r="BA859" s="89"/>
      <c r="BB859" s="89"/>
      <c r="BC859" s="89"/>
      <c r="BD859" s="89"/>
      <c r="BE859" s="89"/>
      <c r="BF859" s="89"/>
    </row>
    <row r="860" spans="1:58" s="14" customFormat="1" ht="14.1" customHeight="1">
      <c r="A860" s="412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  <c r="AA860" s="89"/>
      <c r="AB860" s="89"/>
      <c r="AC860" s="89"/>
      <c r="AD860" s="89"/>
      <c r="AE860" s="89"/>
      <c r="AF860" s="89"/>
      <c r="AG860" s="89"/>
      <c r="AH860" s="89"/>
      <c r="AI860" s="89"/>
      <c r="AJ860" s="89"/>
      <c r="AK860" s="89"/>
      <c r="AL860" s="89"/>
      <c r="AM860" s="89"/>
      <c r="AN860" s="89"/>
      <c r="AO860" s="89"/>
      <c r="AP860" s="89"/>
      <c r="AQ860" s="89"/>
      <c r="AR860" s="89"/>
      <c r="AS860" s="89"/>
      <c r="AT860" s="89"/>
      <c r="AU860" s="89"/>
      <c r="AV860" s="89"/>
      <c r="AW860" s="89"/>
      <c r="AX860" s="89"/>
      <c r="AY860" s="89"/>
      <c r="AZ860" s="89"/>
      <c r="BA860" s="89"/>
      <c r="BB860" s="89"/>
      <c r="BC860" s="89"/>
      <c r="BD860" s="89"/>
      <c r="BE860" s="89"/>
      <c r="BF860" s="89"/>
    </row>
    <row r="861" spans="1:58" s="14" customFormat="1" ht="14.1" customHeight="1">
      <c r="A861" s="412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  <c r="AA861" s="89"/>
      <c r="AB861" s="89"/>
      <c r="AC861" s="89"/>
      <c r="AD861" s="89"/>
      <c r="AE861" s="89"/>
      <c r="AF861" s="89"/>
      <c r="AG861" s="89"/>
      <c r="AH861" s="89"/>
      <c r="AI861" s="89"/>
      <c r="AJ861" s="89"/>
      <c r="AK861" s="89"/>
      <c r="AL861" s="89"/>
      <c r="AM861" s="89"/>
      <c r="AN861" s="89"/>
      <c r="AO861" s="89"/>
      <c r="AP861" s="89"/>
      <c r="AQ861" s="89"/>
      <c r="AR861" s="89"/>
      <c r="AS861" s="89"/>
      <c r="AT861" s="89"/>
      <c r="AU861" s="89"/>
      <c r="AV861" s="89"/>
      <c r="AW861" s="89"/>
      <c r="AX861" s="89"/>
      <c r="AY861" s="89"/>
      <c r="AZ861" s="89"/>
      <c r="BA861" s="89"/>
      <c r="BB861" s="89"/>
      <c r="BC861" s="89"/>
      <c r="BD861" s="89"/>
      <c r="BE861" s="89"/>
      <c r="BF861" s="89"/>
    </row>
    <row r="862" spans="1:58" s="14" customFormat="1" ht="14.1" customHeight="1">
      <c r="A862" s="412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  <c r="AA862" s="89"/>
      <c r="AB862" s="89"/>
      <c r="AC862" s="89"/>
      <c r="AD862" s="89"/>
      <c r="AE862" s="89"/>
      <c r="AF862" s="89"/>
      <c r="AG862" s="89"/>
      <c r="AH862" s="89"/>
      <c r="AI862" s="89"/>
      <c r="AJ862" s="89"/>
      <c r="AK862" s="89"/>
      <c r="AL862" s="89"/>
      <c r="AM862" s="89"/>
      <c r="AN862" s="89"/>
      <c r="AO862" s="89"/>
      <c r="AP862" s="89"/>
      <c r="AQ862" s="89"/>
      <c r="AR862" s="89"/>
      <c r="AS862" s="89"/>
      <c r="AT862" s="89"/>
      <c r="AU862" s="89"/>
      <c r="AV862" s="89"/>
      <c r="AW862" s="89"/>
      <c r="AX862" s="89"/>
      <c r="AY862" s="89"/>
      <c r="AZ862" s="89"/>
      <c r="BA862" s="89"/>
      <c r="BB862" s="89"/>
      <c r="BC862" s="89"/>
      <c r="BD862" s="89"/>
      <c r="BE862" s="89"/>
      <c r="BF862" s="89"/>
    </row>
    <row r="863" spans="1:58" s="14" customFormat="1" ht="14.1" customHeight="1">
      <c r="A863" s="412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  <c r="AA863" s="89"/>
      <c r="AB863" s="89"/>
      <c r="AC863" s="89"/>
      <c r="AD863" s="89"/>
      <c r="AE863" s="89"/>
      <c r="AF863" s="89"/>
      <c r="AG863" s="89"/>
      <c r="AH863" s="89"/>
      <c r="AI863" s="89"/>
      <c r="AJ863" s="89"/>
      <c r="AK863" s="89"/>
      <c r="AL863" s="89"/>
      <c r="AM863" s="89"/>
      <c r="AN863" s="89"/>
      <c r="AO863" s="89"/>
      <c r="AP863" s="89"/>
      <c r="AQ863" s="89"/>
      <c r="AR863" s="89"/>
      <c r="AS863" s="89"/>
      <c r="AT863" s="89"/>
      <c r="AU863" s="89"/>
      <c r="AV863" s="89"/>
      <c r="AW863" s="89"/>
      <c r="AX863" s="89"/>
      <c r="AY863" s="89"/>
      <c r="AZ863" s="89"/>
      <c r="BA863" s="89"/>
      <c r="BB863" s="89"/>
      <c r="BC863" s="89"/>
      <c r="BD863" s="89"/>
      <c r="BE863" s="89"/>
      <c r="BF863" s="89"/>
    </row>
    <row r="864" spans="1:58" s="14" customFormat="1" ht="14.1" customHeight="1">
      <c r="A864" s="412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  <c r="AA864" s="89"/>
      <c r="AB864" s="89"/>
      <c r="AC864" s="89"/>
      <c r="AD864" s="89"/>
      <c r="AE864" s="89"/>
      <c r="AF864" s="89"/>
      <c r="AG864" s="89"/>
      <c r="AH864" s="89"/>
      <c r="AI864" s="89"/>
      <c r="AJ864" s="89"/>
      <c r="AK864" s="89"/>
      <c r="AL864" s="89"/>
      <c r="AM864" s="89"/>
      <c r="AN864" s="89"/>
      <c r="AO864" s="89"/>
      <c r="AP864" s="89"/>
      <c r="AQ864" s="89"/>
      <c r="AR864" s="89"/>
      <c r="AS864" s="89"/>
      <c r="AT864" s="89"/>
      <c r="AU864" s="89"/>
      <c r="AV864" s="89"/>
      <c r="AW864" s="89"/>
      <c r="AX864" s="89"/>
      <c r="AY864" s="89"/>
      <c r="AZ864" s="89"/>
      <c r="BA864" s="89"/>
      <c r="BB864" s="89"/>
      <c r="BC864" s="89"/>
      <c r="BD864" s="89"/>
      <c r="BE864" s="89"/>
      <c r="BF864" s="89"/>
    </row>
    <row r="865" spans="1:58" s="14" customFormat="1" ht="14.1" customHeight="1">
      <c r="A865" s="412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  <c r="AA865" s="89"/>
      <c r="AB865" s="89"/>
      <c r="AC865" s="89"/>
      <c r="AD865" s="89"/>
      <c r="AE865" s="89"/>
      <c r="AF865" s="89"/>
      <c r="AG865" s="89"/>
      <c r="AH865" s="89"/>
      <c r="AI865" s="89"/>
      <c r="AJ865" s="89"/>
      <c r="AK865" s="89"/>
      <c r="AL865" s="89"/>
      <c r="AM865" s="89"/>
      <c r="AN865" s="89"/>
      <c r="AO865" s="89"/>
      <c r="AP865" s="89"/>
      <c r="AQ865" s="89"/>
      <c r="AR865" s="89"/>
      <c r="AS865" s="89"/>
      <c r="AT865" s="89"/>
      <c r="AU865" s="89"/>
      <c r="AV865" s="89"/>
      <c r="AW865" s="89"/>
      <c r="AX865" s="89"/>
      <c r="AY865" s="89"/>
      <c r="AZ865" s="89"/>
      <c r="BA865" s="89"/>
      <c r="BB865" s="89"/>
      <c r="BC865" s="89"/>
      <c r="BD865" s="89"/>
      <c r="BE865" s="89"/>
      <c r="BF865" s="89"/>
    </row>
    <row r="866" spans="1:58" s="14" customFormat="1" ht="14.1" customHeight="1">
      <c r="A866" s="412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  <c r="AA866" s="89"/>
      <c r="AB866" s="89"/>
      <c r="AC866" s="89"/>
      <c r="AD866" s="89"/>
      <c r="AE866" s="89"/>
      <c r="AF866" s="89"/>
      <c r="AG866" s="89"/>
      <c r="AH866" s="89"/>
      <c r="AI866" s="89"/>
      <c r="AJ866" s="89"/>
      <c r="AK866" s="89"/>
      <c r="AL866" s="89"/>
      <c r="AM866" s="89"/>
      <c r="AN866" s="89"/>
      <c r="AO866" s="89"/>
      <c r="AP866" s="89"/>
      <c r="AQ866" s="89"/>
      <c r="AR866" s="89"/>
      <c r="AS866" s="89"/>
      <c r="AT866" s="89"/>
      <c r="AU866" s="89"/>
      <c r="AV866" s="89"/>
      <c r="AW866" s="89"/>
      <c r="AX866" s="89"/>
      <c r="AY866" s="89"/>
      <c r="AZ866" s="89"/>
      <c r="BA866" s="89"/>
      <c r="BB866" s="89"/>
      <c r="BC866" s="89"/>
      <c r="BD866" s="89"/>
      <c r="BE866" s="89"/>
      <c r="BF866" s="89"/>
    </row>
    <row r="867" spans="1:58" s="14" customFormat="1" ht="14.1" customHeight="1">
      <c r="A867" s="412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  <c r="AA867" s="89"/>
      <c r="AB867" s="89"/>
      <c r="AC867" s="89"/>
      <c r="AD867" s="89"/>
      <c r="AE867" s="89"/>
      <c r="AF867" s="89"/>
      <c r="AG867" s="89"/>
      <c r="AH867" s="89"/>
      <c r="AI867" s="89"/>
      <c r="AJ867" s="89"/>
      <c r="AK867" s="89"/>
      <c r="AL867" s="89"/>
      <c r="AM867" s="89"/>
      <c r="AN867" s="89"/>
      <c r="AO867" s="89"/>
      <c r="AP867" s="89"/>
      <c r="AQ867" s="89"/>
      <c r="AR867" s="89"/>
      <c r="AS867" s="89"/>
      <c r="AT867" s="89"/>
      <c r="AU867" s="89"/>
      <c r="AV867" s="89"/>
      <c r="AW867" s="89"/>
      <c r="AX867" s="89"/>
      <c r="AY867" s="89"/>
      <c r="AZ867" s="89"/>
      <c r="BA867" s="89"/>
      <c r="BB867" s="89"/>
      <c r="BC867" s="89"/>
      <c r="BD867" s="89"/>
      <c r="BE867" s="89"/>
      <c r="BF867" s="89"/>
    </row>
    <row r="868" spans="1:58" s="14" customFormat="1" ht="14.1" customHeight="1">
      <c r="A868" s="412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  <c r="AA868" s="89"/>
      <c r="AB868" s="89"/>
      <c r="AC868" s="89"/>
      <c r="AD868" s="89"/>
      <c r="AE868" s="89"/>
      <c r="AF868" s="89"/>
      <c r="AG868" s="89"/>
      <c r="AH868" s="89"/>
      <c r="AI868" s="89"/>
      <c r="AJ868" s="89"/>
      <c r="AK868" s="89"/>
      <c r="AL868" s="89"/>
      <c r="AM868" s="89"/>
      <c r="AN868" s="89"/>
      <c r="AO868" s="89"/>
      <c r="AP868" s="89"/>
      <c r="AQ868" s="89"/>
      <c r="AR868" s="89"/>
      <c r="AS868" s="89"/>
      <c r="AT868" s="89"/>
      <c r="AU868" s="89"/>
      <c r="AV868" s="89"/>
      <c r="AW868" s="89"/>
      <c r="AX868" s="89"/>
      <c r="AY868" s="89"/>
      <c r="AZ868" s="89"/>
      <c r="BA868" s="89"/>
      <c r="BB868" s="89"/>
      <c r="BC868" s="89"/>
      <c r="BD868" s="89"/>
      <c r="BE868" s="89"/>
      <c r="BF868" s="89"/>
    </row>
    <row r="869" spans="1:58" s="14" customFormat="1" ht="14.1" customHeight="1">
      <c r="A869" s="412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  <c r="AA869" s="89"/>
      <c r="AB869" s="89"/>
      <c r="AC869" s="89"/>
      <c r="AD869" s="89"/>
      <c r="AE869" s="89"/>
      <c r="AF869" s="89"/>
      <c r="AG869" s="89"/>
      <c r="AH869" s="89"/>
      <c r="AI869" s="89"/>
      <c r="AJ869" s="89"/>
      <c r="AK869" s="89"/>
      <c r="AL869" s="89"/>
      <c r="AM869" s="89"/>
      <c r="AN869" s="89"/>
      <c r="AO869" s="89"/>
      <c r="AP869" s="89"/>
      <c r="AQ869" s="89"/>
      <c r="AR869" s="89"/>
      <c r="AS869" s="89"/>
      <c r="AT869" s="89"/>
      <c r="AU869" s="89"/>
      <c r="AV869" s="89"/>
      <c r="AW869" s="89"/>
      <c r="AX869" s="89"/>
      <c r="AY869" s="89"/>
      <c r="AZ869" s="89"/>
      <c r="BA869" s="89"/>
      <c r="BB869" s="89"/>
      <c r="BC869" s="89"/>
      <c r="BD869" s="89"/>
      <c r="BE869" s="89"/>
      <c r="BF869" s="89"/>
    </row>
    <row r="870" spans="1:58" s="14" customFormat="1" ht="14.1" customHeight="1">
      <c r="A870" s="412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  <c r="AA870" s="89"/>
      <c r="AB870" s="89"/>
      <c r="AC870" s="89"/>
      <c r="AD870" s="89"/>
      <c r="AE870" s="89"/>
      <c r="AF870" s="89"/>
      <c r="AG870" s="89"/>
      <c r="AH870" s="89"/>
      <c r="AI870" s="89"/>
      <c r="AJ870" s="89"/>
      <c r="AK870" s="89"/>
      <c r="AL870" s="89"/>
      <c r="AM870" s="89"/>
      <c r="AN870" s="89"/>
      <c r="AO870" s="89"/>
      <c r="AP870" s="89"/>
      <c r="AQ870" s="89"/>
      <c r="AR870" s="89"/>
      <c r="AS870" s="89"/>
      <c r="AT870" s="89"/>
      <c r="AU870" s="89"/>
      <c r="AV870" s="89"/>
      <c r="AW870" s="89"/>
      <c r="AX870" s="89"/>
      <c r="AY870" s="89"/>
      <c r="AZ870" s="89"/>
      <c r="BA870" s="89"/>
      <c r="BB870" s="89"/>
      <c r="BC870" s="89"/>
      <c r="BD870" s="89"/>
      <c r="BE870" s="89"/>
      <c r="BF870" s="89"/>
    </row>
    <row r="871" spans="1:58" s="14" customFormat="1" ht="14.1" customHeight="1">
      <c r="A871" s="412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  <c r="AA871" s="89"/>
      <c r="AB871" s="89"/>
      <c r="AC871" s="89"/>
      <c r="AD871" s="89"/>
      <c r="AE871" s="89"/>
      <c r="AF871" s="89"/>
      <c r="AG871" s="89"/>
      <c r="AH871" s="89"/>
      <c r="AI871" s="89"/>
      <c r="AJ871" s="89"/>
      <c r="AK871" s="89"/>
      <c r="AL871" s="89"/>
      <c r="AM871" s="89"/>
      <c r="AN871" s="89"/>
      <c r="AO871" s="89"/>
      <c r="AP871" s="89"/>
      <c r="AQ871" s="89"/>
      <c r="AR871" s="89"/>
      <c r="AS871" s="89"/>
      <c r="AT871" s="89"/>
      <c r="AU871" s="89"/>
      <c r="AV871" s="89"/>
      <c r="AW871" s="89"/>
      <c r="AX871" s="89"/>
      <c r="AY871" s="89"/>
      <c r="AZ871" s="89"/>
      <c r="BA871" s="89"/>
      <c r="BB871" s="89"/>
      <c r="BC871" s="89"/>
      <c r="BD871" s="89"/>
      <c r="BE871" s="89"/>
      <c r="BF871" s="89"/>
    </row>
    <row r="872" spans="1:58" s="14" customFormat="1" ht="14.1" customHeight="1">
      <c r="A872" s="412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  <c r="AA872" s="89"/>
      <c r="AB872" s="89"/>
      <c r="AC872" s="89"/>
      <c r="AD872" s="89"/>
      <c r="AE872" s="89"/>
      <c r="AF872" s="89"/>
      <c r="AG872" s="89"/>
      <c r="AH872" s="89"/>
      <c r="AI872" s="89"/>
      <c r="AJ872" s="89"/>
      <c r="AK872" s="89"/>
      <c r="AL872" s="89"/>
      <c r="AM872" s="89"/>
      <c r="AN872" s="89"/>
      <c r="AO872" s="89"/>
      <c r="AP872" s="89"/>
      <c r="AQ872" s="89"/>
      <c r="AR872" s="89"/>
      <c r="AS872" s="89"/>
      <c r="AT872" s="89"/>
      <c r="AU872" s="89"/>
      <c r="AV872" s="89"/>
      <c r="AW872" s="89"/>
      <c r="AX872" s="89"/>
      <c r="AY872" s="89"/>
      <c r="AZ872" s="89"/>
      <c r="BA872" s="89"/>
      <c r="BB872" s="89"/>
      <c r="BC872" s="89"/>
      <c r="BD872" s="89"/>
      <c r="BE872" s="89"/>
      <c r="BF872" s="89"/>
    </row>
    <row r="873" spans="1:58" s="14" customFormat="1" ht="14.1" customHeight="1">
      <c r="A873" s="412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  <c r="AA873" s="89"/>
      <c r="AB873" s="89"/>
      <c r="AC873" s="89"/>
      <c r="AD873" s="89"/>
      <c r="AE873" s="89"/>
      <c r="AF873" s="89"/>
      <c r="AG873" s="89"/>
      <c r="AH873" s="89"/>
      <c r="AI873" s="89"/>
      <c r="AJ873" s="89"/>
      <c r="AK873" s="89"/>
      <c r="AL873" s="89"/>
      <c r="AM873" s="89"/>
      <c r="AN873" s="89"/>
      <c r="AO873" s="89"/>
      <c r="AP873" s="89"/>
      <c r="AQ873" s="89"/>
      <c r="AR873" s="89"/>
      <c r="AS873" s="89"/>
      <c r="AT873" s="89"/>
      <c r="AU873" s="89"/>
      <c r="AV873" s="89"/>
      <c r="AW873" s="89"/>
      <c r="AX873" s="89"/>
      <c r="AY873" s="89"/>
      <c r="AZ873" s="89"/>
      <c r="BA873" s="89"/>
      <c r="BB873" s="89"/>
      <c r="BC873" s="89"/>
      <c r="BD873" s="89"/>
      <c r="BE873" s="89"/>
      <c r="BF873" s="89"/>
    </row>
    <row r="874" spans="1:58" s="14" customFormat="1" ht="14.1" customHeight="1">
      <c r="A874" s="412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  <c r="AA874" s="89"/>
      <c r="AB874" s="89"/>
      <c r="AC874" s="89"/>
      <c r="AD874" s="89"/>
      <c r="AE874" s="89"/>
      <c r="AF874" s="89"/>
      <c r="AG874" s="89"/>
      <c r="AH874" s="89"/>
      <c r="AI874" s="89"/>
      <c r="AJ874" s="89"/>
      <c r="AK874" s="89"/>
      <c r="AL874" s="89"/>
      <c r="AM874" s="89"/>
      <c r="AN874" s="89"/>
      <c r="AO874" s="89"/>
      <c r="AP874" s="89"/>
      <c r="AQ874" s="89"/>
      <c r="AR874" s="89"/>
      <c r="AS874" s="89"/>
      <c r="AT874" s="89"/>
      <c r="AU874" s="89"/>
      <c r="AV874" s="89"/>
      <c r="AW874" s="89"/>
      <c r="AX874" s="89"/>
      <c r="AY874" s="89"/>
      <c r="AZ874" s="89"/>
      <c r="BA874" s="89"/>
      <c r="BB874" s="89"/>
      <c r="BC874" s="89"/>
      <c r="BD874" s="89"/>
      <c r="BE874" s="89"/>
      <c r="BF874" s="89"/>
    </row>
    <row r="875" spans="1:58" s="14" customFormat="1" ht="14.1" customHeight="1">
      <c r="A875" s="412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  <c r="AA875" s="89"/>
      <c r="AB875" s="89"/>
      <c r="AC875" s="89"/>
      <c r="AD875" s="89"/>
      <c r="AE875" s="89"/>
      <c r="AF875" s="89"/>
      <c r="AG875" s="89"/>
      <c r="AH875" s="89"/>
      <c r="AI875" s="89"/>
      <c r="AJ875" s="89"/>
      <c r="AK875" s="89"/>
      <c r="AL875" s="89"/>
      <c r="AM875" s="89"/>
      <c r="AN875" s="89"/>
      <c r="AO875" s="89"/>
      <c r="AP875" s="89"/>
      <c r="AQ875" s="89"/>
      <c r="AR875" s="89"/>
      <c r="AS875" s="89"/>
      <c r="AT875" s="89"/>
      <c r="AU875" s="89"/>
      <c r="AV875" s="89"/>
      <c r="AW875" s="89"/>
      <c r="AX875" s="89"/>
      <c r="AY875" s="89"/>
      <c r="AZ875" s="89"/>
      <c r="BA875" s="89"/>
      <c r="BB875" s="89"/>
      <c r="BC875" s="89"/>
      <c r="BD875" s="89"/>
      <c r="BE875" s="89"/>
      <c r="BF875" s="89"/>
    </row>
    <row r="876" spans="1:58" s="14" customFormat="1" ht="14.1" customHeight="1">
      <c r="A876" s="412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  <c r="AA876" s="89"/>
      <c r="AB876" s="89"/>
      <c r="AC876" s="89"/>
      <c r="AD876" s="89"/>
      <c r="AE876" s="89"/>
      <c r="AF876" s="89"/>
      <c r="AG876" s="89"/>
      <c r="AH876" s="89"/>
      <c r="AI876" s="89"/>
      <c r="AJ876" s="89"/>
      <c r="AK876" s="89"/>
      <c r="AL876" s="89"/>
      <c r="AM876" s="89"/>
      <c r="AN876" s="89"/>
      <c r="AO876" s="89"/>
      <c r="AP876" s="89"/>
      <c r="AQ876" s="89"/>
      <c r="AR876" s="89"/>
      <c r="AS876" s="89"/>
      <c r="AT876" s="89"/>
      <c r="AU876" s="89"/>
      <c r="AV876" s="89"/>
      <c r="AW876" s="89"/>
      <c r="AX876" s="89"/>
      <c r="AY876" s="89"/>
      <c r="AZ876" s="89"/>
      <c r="BA876" s="89"/>
      <c r="BB876" s="89"/>
      <c r="BC876" s="89"/>
      <c r="BD876" s="89"/>
      <c r="BE876" s="89"/>
      <c r="BF876" s="89"/>
    </row>
    <row r="877" spans="1:58" s="14" customFormat="1" ht="14.1" customHeight="1">
      <c r="A877" s="412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  <c r="AA877" s="89"/>
      <c r="AB877" s="89"/>
      <c r="AC877" s="89"/>
      <c r="AD877" s="89"/>
      <c r="AE877" s="89"/>
      <c r="AF877" s="89"/>
      <c r="AG877" s="89"/>
      <c r="AH877" s="89"/>
      <c r="AI877" s="89"/>
      <c r="AJ877" s="89"/>
      <c r="AK877" s="89"/>
      <c r="AL877" s="89"/>
      <c r="AM877" s="89"/>
      <c r="AN877" s="89"/>
      <c r="AO877" s="89"/>
      <c r="AP877" s="89"/>
      <c r="AQ877" s="89"/>
      <c r="AR877" s="89"/>
      <c r="AS877" s="89"/>
      <c r="AT877" s="89"/>
      <c r="AU877" s="89"/>
      <c r="AV877" s="89"/>
      <c r="AW877" s="89"/>
      <c r="AX877" s="89"/>
      <c r="AY877" s="89"/>
      <c r="AZ877" s="89"/>
      <c r="BA877" s="89"/>
      <c r="BB877" s="89"/>
      <c r="BC877" s="89"/>
      <c r="BD877" s="89"/>
      <c r="BE877" s="89"/>
      <c r="BF877" s="89"/>
    </row>
    <row r="878" spans="1:58" s="14" customFormat="1" ht="14.1" customHeight="1">
      <c r="A878" s="412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  <c r="AA878" s="89"/>
      <c r="AB878" s="89"/>
      <c r="AC878" s="89"/>
      <c r="AD878" s="89"/>
      <c r="AE878" s="89"/>
      <c r="AF878" s="89"/>
      <c r="AG878" s="89"/>
      <c r="AH878" s="89"/>
      <c r="AI878" s="89"/>
      <c r="AJ878" s="89"/>
      <c r="AK878" s="89"/>
      <c r="AL878" s="89"/>
      <c r="AM878" s="89"/>
      <c r="AN878" s="89"/>
      <c r="AO878" s="89"/>
      <c r="AP878" s="89"/>
      <c r="AQ878" s="89"/>
      <c r="AR878" s="89"/>
      <c r="AS878" s="89"/>
      <c r="AT878" s="89"/>
      <c r="AU878" s="89"/>
      <c r="AV878" s="89"/>
      <c r="AW878" s="89"/>
      <c r="AX878" s="89"/>
      <c r="AY878" s="89"/>
      <c r="AZ878" s="89"/>
      <c r="BA878" s="89"/>
      <c r="BB878" s="89"/>
      <c r="BC878" s="89"/>
      <c r="BD878" s="89"/>
      <c r="BE878" s="89"/>
      <c r="BF878" s="89"/>
    </row>
    <row r="879" spans="1:58" s="14" customFormat="1" ht="14.1" customHeight="1">
      <c r="A879" s="412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  <c r="AA879" s="89"/>
      <c r="AB879" s="89"/>
      <c r="AC879" s="89"/>
      <c r="AD879" s="89"/>
      <c r="AE879" s="89"/>
      <c r="AF879" s="89"/>
      <c r="AG879" s="89"/>
      <c r="AH879" s="89"/>
      <c r="AI879" s="89"/>
      <c r="AJ879" s="89"/>
      <c r="AK879" s="89"/>
      <c r="AL879" s="89"/>
      <c r="AM879" s="89"/>
      <c r="AN879" s="89"/>
      <c r="AO879" s="89"/>
      <c r="AP879" s="89"/>
      <c r="AQ879" s="89"/>
      <c r="AR879" s="89"/>
      <c r="AS879" s="89"/>
      <c r="AT879" s="89"/>
      <c r="AU879" s="89"/>
      <c r="AV879" s="89"/>
      <c r="AW879" s="89"/>
      <c r="AX879" s="89"/>
      <c r="AY879" s="89"/>
      <c r="AZ879" s="89"/>
      <c r="BA879" s="89"/>
      <c r="BB879" s="89"/>
      <c r="BC879" s="89"/>
      <c r="BD879" s="89"/>
      <c r="BE879" s="89"/>
      <c r="BF879" s="89"/>
    </row>
    <row r="880" spans="1:58" s="14" customFormat="1" ht="14.1" customHeight="1">
      <c r="A880" s="412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  <c r="AA880" s="89"/>
      <c r="AB880" s="89"/>
      <c r="AC880" s="89"/>
      <c r="AD880" s="89"/>
      <c r="AE880" s="89"/>
      <c r="AF880" s="89"/>
      <c r="AG880" s="89"/>
      <c r="AH880" s="89"/>
      <c r="AI880" s="89"/>
      <c r="AJ880" s="89"/>
      <c r="AK880" s="89"/>
      <c r="AL880" s="89"/>
      <c r="AM880" s="89"/>
      <c r="AN880" s="89"/>
      <c r="AO880" s="89"/>
      <c r="AP880" s="89"/>
      <c r="AQ880" s="89"/>
      <c r="AR880" s="89"/>
      <c r="AS880" s="89"/>
      <c r="AT880" s="89"/>
      <c r="AU880" s="89"/>
      <c r="AV880" s="89"/>
      <c r="AW880" s="89"/>
      <c r="AX880" s="89"/>
      <c r="AY880" s="89"/>
      <c r="AZ880" s="89"/>
      <c r="BA880" s="89"/>
      <c r="BB880" s="89"/>
      <c r="BC880" s="89"/>
      <c r="BD880" s="89"/>
      <c r="BE880" s="89"/>
      <c r="BF880" s="89"/>
    </row>
    <row r="881" spans="1:58" s="14" customFormat="1" ht="14.1" customHeight="1">
      <c r="A881" s="412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  <c r="AA881" s="89"/>
      <c r="AB881" s="89"/>
      <c r="AC881" s="89"/>
      <c r="AD881" s="89"/>
      <c r="AE881" s="89"/>
      <c r="AF881" s="89"/>
      <c r="AG881" s="89"/>
      <c r="AH881" s="89"/>
      <c r="AI881" s="89"/>
      <c r="AJ881" s="89"/>
      <c r="AK881" s="89"/>
      <c r="AL881" s="89"/>
      <c r="AM881" s="89"/>
      <c r="AN881" s="89"/>
      <c r="AO881" s="89"/>
      <c r="AP881" s="89"/>
      <c r="AQ881" s="89"/>
      <c r="AR881" s="89"/>
      <c r="AS881" s="89"/>
      <c r="AT881" s="89"/>
      <c r="AU881" s="89"/>
      <c r="AV881" s="89"/>
      <c r="AW881" s="89"/>
      <c r="AX881" s="89"/>
      <c r="AY881" s="89"/>
      <c r="AZ881" s="89"/>
      <c r="BA881" s="89"/>
      <c r="BB881" s="89"/>
      <c r="BC881" s="89"/>
      <c r="BD881" s="89"/>
      <c r="BE881" s="89"/>
      <c r="BF881" s="89"/>
    </row>
    <row r="882" spans="1:58" s="14" customFormat="1" ht="14.1" customHeight="1">
      <c r="A882" s="412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  <c r="AA882" s="89"/>
      <c r="AB882" s="89"/>
      <c r="AC882" s="89"/>
      <c r="AD882" s="89"/>
      <c r="AE882" s="89"/>
      <c r="AF882" s="89"/>
      <c r="AG882" s="89"/>
      <c r="AH882" s="89"/>
      <c r="AI882" s="89"/>
      <c r="AJ882" s="89"/>
      <c r="AK882" s="89"/>
      <c r="AL882" s="89"/>
      <c r="AM882" s="89"/>
      <c r="AN882" s="89"/>
      <c r="AO882" s="89"/>
      <c r="AP882" s="89"/>
      <c r="AQ882" s="89"/>
      <c r="AR882" s="89"/>
      <c r="AS882" s="89"/>
      <c r="AT882" s="89"/>
      <c r="AU882" s="89"/>
      <c r="AV882" s="89"/>
      <c r="AW882" s="89"/>
      <c r="AX882" s="89"/>
      <c r="AY882" s="89"/>
      <c r="AZ882" s="89"/>
      <c r="BA882" s="89"/>
      <c r="BB882" s="89"/>
      <c r="BC882" s="89"/>
      <c r="BD882" s="89"/>
      <c r="BE882" s="89"/>
      <c r="BF882" s="89"/>
    </row>
    <row r="883" spans="1:58" s="14" customFormat="1" ht="14.1" customHeight="1">
      <c r="A883" s="412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  <c r="AA883" s="89"/>
      <c r="AB883" s="89"/>
      <c r="AC883" s="89"/>
      <c r="AD883" s="89"/>
      <c r="AE883" s="89"/>
      <c r="AF883" s="89"/>
      <c r="AG883" s="89"/>
      <c r="AH883" s="89"/>
      <c r="AI883" s="89"/>
      <c r="AJ883" s="89"/>
      <c r="AK883" s="89"/>
      <c r="AL883" s="89"/>
      <c r="AM883" s="89"/>
      <c r="AN883" s="89"/>
      <c r="AO883" s="89"/>
      <c r="AP883" s="89"/>
      <c r="AQ883" s="89"/>
      <c r="AR883" s="89"/>
      <c r="AS883" s="89"/>
      <c r="AT883" s="89"/>
      <c r="AU883" s="89"/>
      <c r="AV883" s="89"/>
      <c r="AW883" s="89"/>
      <c r="AX883" s="89"/>
      <c r="AY883" s="89"/>
      <c r="AZ883" s="89"/>
      <c r="BA883" s="89"/>
      <c r="BB883" s="89"/>
      <c r="BC883" s="89"/>
      <c r="BD883" s="89"/>
      <c r="BE883" s="89"/>
      <c r="BF883" s="89"/>
    </row>
    <row r="884" spans="1:58" s="14" customFormat="1" ht="14.1" customHeight="1">
      <c r="A884" s="412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  <c r="AA884" s="89"/>
      <c r="AB884" s="89"/>
      <c r="AC884" s="89"/>
      <c r="AD884" s="89"/>
      <c r="AE884" s="89"/>
      <c r="AF884" s="89"/>
      <c r="AG884" s="89"/>
      <c r="AH884" s="89"/>
      <c r="AI884" s="89"/>
      <c r="AJ884" s="89"/>
      <c r="AK884" s="89"/>
      <c r="AL884" s="89"/>
      <c r="AM884" s="89"/>
      <c r="AN884" s="89"/>
      <c r="AO884" s="89"/>
      <c r="AP884" s="89"/>
      <c r="AQ884" s="89"/>
      <c r="AR884" s="89"/>
      <c r="AS884" s="89"/>
      <c r="AT884" s="89"/>
      <c r="AU884" s="89"/>
      <c r="AV884" s="89"/>
      <c r="AW884" s="89"/>
      <c r="AX884" s="89"/>
      <c r="AY884" s="89"/>
      <c r="AZ884" s="89"/>
      <c r="BA884" s="89"/>
      <c r="BB884" s="89"/>
      <c r="BC884" s="89"/>
      <c r="BD884" s="89"/>
      <c r="BE884" s="89"/>
      <c r="BF884" s="89"/>
    </row>
    <row r="885" spans="1:58" s="14" customFormat="1" ht="14.1" customHeight="1">
      <c r="A885" s="412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  <c r="AA885" s="89"/>
      <c r="AB885" s="89"/>
      <c r="AC885" s="89"/>
      <c r="AD885" s="89"/>
      <c r="AE885" s="89"/>
      <c r="AF885" s="89"/>
      <c r="AG885" s="89"/>
      <c r="AH885" s="89"/>
      <c r="AI885" s="89"/>
      <c r="AJ885" s="89"/>
      <c r="AK885" s="89"/>
      <c r="AL885" s="89"/>
      <c r="AM885" s="89"/>
      <c r="AN885" s="89"/>
      <c r="AO885" s="89"/>
      <c r="AP885" s="89"/>
      <c r="AQ885" s="89"/>
      <c r="AR885" s="89"/>
      <c r="AS885" s="89"/>
      <c r="AT885" s="89"/>
      <c r="AU885" s="89"/>
      <c r="AV885" s="89"/>
      <c r="AW885" s="89"/>
      <c r="AX885" s="89"/>
      <c r="AY885" s="89"/>
      <c r="AZ885" s="89"/>
      <c r="BA885" s="89"/>
      <c r="BB885" s="89"/>
      <c r="BC885" s="89"/>
      <c r="BD885" s="89"/>
      <c r="BE885" s="89"/>
      <c r="BF885" s="89"/>
    </row>
    <row r="886" spans="1:58" s="14" customFormat="1" ht="14.1" customHeight="1">
      <c r="A886" s="412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  <c r="AA886" s="89"/>
      <c r="AB886" s="89"/>
      <c r="AC886" s="89"/>
      <c r="AD886" s="89"/>
      <c r="AE886" s="89"/>
      <c r="AF886" s="89"/>
      <c r="AG886" s="89"/>
      <c r="AH886" s="89"/>
      <c r="AI886" s="89"/>
      <c r="AJ886" s="89"/>
      <c r="AK886" s="89"/>
      <c r="AL886" s="89"/>
      <c r="AM886" s="89"/>
      <c r="AN886" s="89"/>
      <c r="AO886" s="89"/>
      <c r="AP886" s="89"/>
      <c r="AQ886" s="89"/>
      <c r="AR886" s="89"/>
      <c r="AS886" s="89"/>
      <c r="AT886" s="89"/>
      <c r="AU886" s="89"/>
      <c r="AV886" s="89"/>
      <c r="AW886" s="89"/>
      <c r="AX886" s="89"/>
      <c r="AY886" s="89"/>
      <c r="AZ886" s="89"/>
      <c r="BA886" s="89"/>
      <c r="BB886" s="89"/>
      <c r="BC886" s="89"/>
      <c r="BD886" s="89"/>
      <c r="BE886" s="89"/>
      <c r="BF886" s="89"/>
    </row>
    <row r="887" spans="1:58" s="14" customFormat="1" ht="14.1" customHeight="1">
      <c r="A887" s="412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  <c r="AA887" s="89"/>
      <c r="AB887" s="89"/>
      <c r="AC887" s="89"/>
      <c r="AD887" s="89"/>
      <c r="AE887" s="89"/>
      <c r="AF887" s="89"/>
      <c r="AG887" s="89"/>
      <c r="AH887" s="89"/>
      <c r="AI887" s="89"/>
      <c r="AJ887" s="89"/>
      <c r="AK887" s="89"/>
      <c r="AL887" s="89"/>
      <c r="AM887" s="89"/>
      <c r="AN887" s="89"/>
      <c r="AO887" s="89"/>
      <c r="AP887" s="89"/>
      <c r="AQ887" s="89"/>
      <c r="AR887" s="89"/>
      <c r="AS887" s="89"/>
      <c r="AT887" s="89"/>
      <c r="AU887" s="89"/>
      <c r="AV887" s="89"/>
      <c r="AW887" s="89"/>
      <c r="AX887" s="89"/>
      <c r="AY887" s="89"/>
      <c r="AZ887" s="89"/>
      <c r="BA887" s="89"/>
      <c r="BB887" s="89"/>
      <c r="BC887" s="89"/>
      <c r="BD887" s="89"/>
      <c r="BE887" s="89"/>
      <c r="BF887" s="89"/>
    </row>
    <row r="888" spans="1:58" s="14" customFormat="1" ht="14.1" customHeight="1">
      <c r="A888" s="412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  <c r="AA888" s="89"/>
      <c r="AB888" s="89"/>
      <c r="AC888" s="89"/>
      <c r="AD888" s="89"/>
      <c r="AE888" s="89"/>
      <c r="AF888" s="89"/>
      <c r="AG888" s="89"/>
      <c r="AH888" s="89"/>
      <c r="AI888" s="89"/>
      <c r="AJ888" s="89"/>
      <c r="AK888" s="89"/>
      <c r="AL888" s="89"/>
      <c r="AM888" s="89"/>
      <c r="AN888" s="89"/>
      <c r="AO888" s="89"/>
      <c r="AP888" s="89"/>
      <c r="AQ888" s="89"/>
      <c r="AR888" s="89"/>
      <c r="AS888" s="89"/>
      <c r="AT888" s="89"/>
      <c r="AU888" s="89"/>
      <c r="AV888" s="89"/>
      <c r="AW888" s="89"/>
      <c r="AX888" s="89"/>
      <c r="AY888" s="89"/>
      <c r="AZ888" s="89"/>
      <c r="BA888" s="89"/>
      <c r="BB888" s="89"/>
      <c r="BC888" s="89"/>
      <c r="BD888" s="89"/>
      <c r="BE888" s="89"/>
      <c r="BF888" s="89"/>
    </row>
    <row r="889" spans="1:58" s="14" customFormat="1" ht="14.1" customHeight="1">
      <c r="A889" s="412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  <c r="AA889" s="89"/>
      <c r="AB889" s="89"/>
      <c r="AC889" s="89"/>
      <c r="AD889" s="89"/>
      <c r="AE889" s="89"/>
      <c r="AF889" s="89"/>
      <c r="AG889" s="89"/>
      <c r="AH889" s="89"/>
      <c r="AI889" s="89"/>
      <c r="AJ889" s="89"/>
      <c r="AK889" s="89"/>
      <c r="AL889" s="89"/>
      <c r="AM889" s="89"/>
      <c r="AN889" s="89"/>
      <c r="AO889" s="89"/>
      <c r="AP889" s="89"/>
      <c r="AQ889" s="89"/>
      <c r="AR889" s="89"/>
      <c r="AS889" s="89"/>
      <c r="AT889" s="89"/>
      <c r="AU889" s="89"/>
      <c r="AV889" s="89"/>
      <c r="AW889" s="89"/>
      <c r="AX889" s="89"/>
      <c r="AY889" s="89"/>
      <c r="AZ889" s="89"/>
      <c r="BA889" s="89"/>
      <c r="BB889" s="89"/>
      <c r="BC889" s="89"/>
      <c r="BD889" s="89"/>
      <c r="BE889" s="89"/>
      <c r="BF889" s="89"/>
    </row>
    <row r="890" spans="1:58" s="14" customFormat="1" ht="14.1" customHeight="1">
      <c r="A890" s="412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  <c r="AA890" s="89"/>
      <c r="AB890" s="89"/>
      <c r="AC890" s="89"/>
      <c r="AD890" s="89"/>
      <c r="AE890" s="89"/>
      <c r="AF890" s="89"/>
      <c r="AG890" s="89"/>
      <c r="AH890" s="89"/>
      <c r="AI890" s="89"/>
      <c r="AJ890" s="89"/>
      <c r="AK890" s="89"/>
      <c r="AL890" s="89"/>
      <c r="AM890" s="89"/>
      <c r="AN890" s="89"/>
      <c r="AO890" s="89"/>
      <c r="AP890" s="89"/>
      <c r="AQ890" s="89"/>
      <c r="AR890" s="89"/>
      <c r="AS890" s="89"/>
      <c r="AT890" s="89"/>
      <c r="AU890" s="89"/>
      <c r="AV890" s="89"/>
      <c r="AW890" s="89"/>
      <c r="AX890" s="89"/>
      <c r="AY890" s="89"/>
      <c r="AZ890" s="89"/>
      <c r="BA890" s="89"/>
      <c r="BB890" s="89"/>
      <c r="BC890" s="89"/>
      <c r="BD890" s="89"/>
      <c r="BE890" s="89"/>
      <c r="BF890" s="89"/>
    </row>
    <row r="891" spans="1:58" s="14" customFormat="1" ht="14.1" customHeight="1">
      <c r="A891" s="412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  <c r="AA891" s="89"/>
      <c r="AB891" s="89"/>
      <c r="AC891" s="89"/>
      <c r="AD891" s="89"/>
      <c r="AE891" s="89"/>
      <c r="AF891" s="89"/>
      <c r="AG891" s="89"/>
      <c r="AH891" s="89"/>
      <c r="AI891" s="89"/>
      <c r="AJ891" s="89"/>
      <c r="AK891" s="89"/>
      <c r="AL891" s="89"/>
      <c r="AM891" s="89"/>
      <c r="AN891" s="89"/>
      <c r="AO891" s="89"/>
      <c r="AP891" s="89"/>
      <c r="AQ891" s="89"/>
      <c r="AR891" s="89"/>
      <c r="AS891" s="89"/>
      <c r="AT891" s="89"/>
      <c r="AU891" s="89"/>
      <c r="AV891" s="89"/>
      <c r="AW891" s="89"/>
      <c r="AX891" s="89"/>
      <c r="AY891" s="89"/>
      <c r="AZ891" s="89"/>
      <c r="BA891" s="89"/>
      <c r="BB891" s="89"/>
      <c r="BC891" s="89"/>
      <c r="BD891" s="89"/>
      <c r="BE891" s="89"/>
      <c r="BF891" s="89"/>
    </row>
    <row r="892" spans="1:58" s="14" customFormat="1" ht="14.1" customHeight="1">
      <c r="A892" s="412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  <c r="AA892" s="89"/>
      <c r="AB892" s="89"/>
      <c r="AC892" s="89"/>
      <c r="AD892" s="89"/>
      <c r="AE892" s="89"/>
      <c r="AF892" s="89"/>
      <c r="AG892" s="89"/>
      <c r="AH892" s="89"/>
      <c r="AI892" s="89"/>
      <c r="AJ892" s="89"/>
      <c r="AK892" s="89"/>
      <c r="AL892" s="89"/>
      <c r="AM892" s="89"/>
      <c r="AN892" s="89"/>
      <c r="AO892" s="89"/>
      <c r="AP892" s="89"/>
      <c r="AQ892" s="89"/>
      <c r="AR892" s="89"/>
      <c r="AS892" s="89"/>
      <c r="AT892" s="89"/>
      <c r="AU892" s="89"/>
      <c r="AV892" s="89"/>
      <c r="AW892" s="89"/>
      <c r="AX892" s="89"/>
      <c r="AY892" s="89"/>
      <c r="AZ892" s="89"/>
      <c r="BA892" s="89"/>
      <c r="BB892" s="89"/>
      <c r="BC892" s="89"/>
      <c r="BD892" s="89"/>
      <c r="BE892" s="89"/>
      <c r="BF892" s="89"/>
    </row>
    <row r="893" spans="1:58" s="14" customFormat="1" ht="14.1" customHeight="1">
      <c r="A893" s="412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  <c r="AA893" s="89"/>
      <c r="AB893" s="89"/>
      <c r="AC893" s="89"/>
      <c r="AD893" s="89"/>
      <c r="AE893" s="89"/>
      <c r="AF893" s="89"/>
      <c r="AG893" s="89"/>
      <c r="AH893" s="89"/>
      <c r="AI893" s="89"/>
      <c r="AJ893" s="89"/>
      <c r="AK893" s="89"/>
      <c r="AL893" s="89"/>
      <c r="AM893" s="89"/>
      <c r="AN893" s="89"/>
      <c r="AO893" s="89"/>
      <c r="AP893" s="89"/>
      <c r="AQ893" s="89"/>
      <c r="AR893" s="89"/>
      <c r="AS893" s="89"/>
      <c r="AT893" s="89"/>
      <c r="AU893" s="89"/>
      <c r="AV893" s="89"/>
      <c r="AW893" s="89"/>
      <c r="AX893" s="89"/>
      <c r="AY893" s="89"/>
      <c r="AZ893" s="89"/>
      <c r="BA893" s="89"/>
      <c r="BB893" s="89"/>
      <c r="BC893" s="89"/>
      <c r="BD893" s="89"/>
      <c r="BE893" s="89"/>
      <c r="BF893" s="89"/>
    </row>
    <row r="894" spans="1:58" s="14" customFormat="1" ht="14.1" customHeight="1">
      <c r="A894" s="412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  <c r="AA894" s="89"/>
      <c r="AB894" s="89"/>
      <c r="AC894" s="89"/>
      <c r="AD894" s="89"/>
      <c r="AE894" s="89"/>
      <c r="AF894" s="89"/>
      <c r="AG894" s="89"/>
      <c r="AH894" s="89"/>
      <c r="AI894" s="89"/>
      <c r="AJ894" s="89"/>
      <c r="AK894" s="89"/>
      <c r="AL894" s="89"/>
      <c r="AM894" s="89"/>
      <c r="AN894" s="89"/>
      <c r="AO894" s="89"/>
      <c r="AP894" s="89"/>
      <c r="AQ894" s="89"/>
      <c r="AR894" s="89"/>
      <c r="AS894" s="89"/>
      <c r="AT894" s="89"/>
      <c r="AU894" s="89"/>
      <c r="AV894" s="89"/>
      <c r="AW894" s="89"/>
      <c r="AX894" s="89"/>
      <c r="AY894" s="89"/>
      <c r="AZ894" s="89"/>
      <c r="BA894" s="89"/>
      <c r="BB894" s="89"/>
      <c r="BC894" s="89"/>
      <c r="BD894" s="89"/>
      <c r="BE894" s="89"/>
      <c r="BF894" s="89"/>
    </row>
    <row r="895" spans="1:58" s="14" customFormat="1" ht="14.1" customHeight="1">
      <c r="A895" s="412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  <c r="AA895" s="89"/>
      <c r="AB895" s="89"/>
      <c r="AC895" s="89"/>
      <c r="AD895" s="89"/>
      <c r="AE895" s="89"/>
      <c r="AF895" s="89"/>
      <c r="AG895" s="89"/>
      <c r="AH895" s="89"/>
      <c r="AI895" s="89"/>
      <c r="AJ895" s="89"/>
      <c r="AK895" s="89"/>
      <c r="AL895" s="89"/>
      <c r="AM895" s="89"/>
      <c r="AN895" s="89"/>
      <c r="AO895" s="89"/>
      <c r="AP895" s="89"/>
      <c r="AQ895" s="89"/>
      <c r="AR895" s="89"/>
      <c r="AS895" s="89"/>
      <c r="AT895" s="89"/>
      <c r="AU895" s="89"/>
      <c r="AV895" s="89"/>
      <c r="AW895" s="89"/>
      <c r="AX895" s="89"/>
      <c r="AY895" s="89"/>
      <c r="AZ895" s="89"/>
      <c r="BA895" s="89"/>
      <c r="BB895" s="89"/>
      <c r="BC895" s="89"/>
      <c r="BD895" s="89"/>
      <c r="BE895" s="89"/>
      <c r="BF895" s="89"/>
    </row>
    <row r="896" spans="1:58" s="14" customFormat="1" ht="14.1" customHeight="1">
      <c r="A896" s="412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  <c r="AA896" s="89"/>
      <c r="AB896" s="89"/>
      <c r="AC896" s="89"/>
      <c r="AD896" s="89"/>
      <c r="AE896" s="89"/>
      <c r="AF896" s="89"/>
      <c r="AG896" s="89"/>
      <c r="AH896" s="89"/>
      <c r="AI896" s="89"/>
      <c r="AJ896" s="89"/>
      <c r="AK896" s="89"/>
      <c r="AL896" s="89"/>
      <c r="AM896" s="89"/>
      <c r="AN896" s="89"/>
      <c r="AO896" s="89"/>
      <c r="AP896" s="89"/>
      <c r="AQ896" s="89"/>
      <c r="AR896" s="89"/>
      <c r="AS896" s="89"/>
      <c r="AT896" s="89"/>
      <c r="AU896" s="89"/>
      <c r="AV896" s="89"/>
      <c r="AW896" s="89"/>
      <c r="AX896" s="89"/>
      <c r="AY896" s="89"/>
      <c r="AZ896" s="89"/>
      <c r="BA896" s="89"/>
      <c r="BB896" s="89"/>
      <c r="BC896" s="89"/>
      <c r="BD896" s="89"/>
      <c r="BE896" s="89"/>
      <c r="BF896" s="89"/>
    </row>
    <row r="897" spans="1:58" s="14" customFormat="1" ht="14.1" customHeight="1">
      <c r="A897" s="412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  <c r="AA897" s="89"/>
      <c r="AB897" s="89"/>
      <c r="AC897" s="89"/>
      <c r="AD897" s="89"/>
      <c r="AE897" s="89"/>
      <c r="AF897" s="89"/>
      <c r="AG897" s="89"/>
      <c r="AH897" s="89"/>
      <c r="AI897" s="89"/>
      <c r="AJ897" s="89"/>
      <c r="AK897" s="89"/>
      <c r="AL897" s="89"/>
      <c r="AM897" s="89"/>
      <c r="AN897" s="89"/>
      <c r="AO897" s="89"/>
      <c r="AP897" s="89"/>
      <c r="AQ897" s="89"/>
      <c r="AR897" s="89"/>
      <c r="AS897" s="89"/>
      <c r="AT897" s="89"/>
      <c r="AU897" s="89"/>
      <c r="AV897" s="89"/>
      <c r="AW897" s="89"/>
      <c r="AX897" s="89"/>
      <c r="AY897" s="89"/>
      <c r="AZ897" s="89"/>
      <c r="BA897" s="89"/>
      <c r="BB897" s="89"/>
      <c r="BC897" s="89"/>
      <c r="BD897" s="89"/>
      <c r="BE897" s="89"/>
      <c r="BF897" s="89"/>
    </row>
    <row r="898" spans="1:58" s="14" customFormat="1" ht="14.1" customHeight="1">
      <c r="A898" s="412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  <c r="AA898" s="89"/>
      <c r="AB898" s="89"/>
      <c r="AC898" s="89"/>
      <c r="AD898" s="89"/>
      <c r="AE898" s="89"/>
      <c r="AF898" s="89"/>
      <c r="AG898" s="89"/>
      <c r="AH898" s="89"/>
      <c r="AI898" s="89"/>
      <c r="AJ898" s="89"/>
      <c r="AK898" s="89"/>
      <c r="AL898" s="89"/>
      <c r="AM898" s="89"/>
      <c r="AN898" s="89"/>
      <c r="AO898" s="89"/>
      <c r="AP898" s="89"/>
      <c r="AQ898" s="89"/>
      <c r="AR898" s="89"/>
      <c r="AS898" s="89"/>
      <c r="AT898" s="89"/>
      <c r="AU898" s="89"/>
      <c r="AV898" s="89"/>
      <c r="AW898" s="89"/>
      <c r="AX898" s="89"/>
      <c r="AY898" s="89"/>
      <c r="AZ898" s="89"/>
      <c r="BA898" s="89"/>
      <c r="BB898" s="89"/>
      <c r="BC898" s="89"/>
      <c r="BD898" s="89"/>
      <c r="BE898" s="89"/>
      <c r="BF898" s="89"/>
    </row>
    <row r="899" spans="1:58" s="14" customFormat="1" ht="14.1" customHeight="1">
      <c r="A899" s="412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  <c r="AA899" s="89"/>
      <c r="AB899" s="89"/>
      <c r="AC899" s="89"/>
      <c r="AD899" s="89"/>
      <c r="AE899" s="89"/>
      <c r="AF899" s="89"/>
      <c r="AG899" s="89"/>
      <c r="AH899" s="89"/>
      <c r="AI899" s="89"/>
      <c r="AJ899" s="89"/>
      <c r="AK899" s="89"/>
      <c r="AL899" s="89"/>
      <c r="AM899" s="89"/>
      <c r="AN899" s="89"/>
      <c r="AO899" s="89"/>
      <c r="AP899" s="89"/>
      <c r="AQ899" s="89"/>
      <c r="AR899" s="89"/>
      <c r="AS899" s="89"/>
      <c r="AT899" s="89"/>
      <c r="AU899" s="89"/>
      <c r="AV899" s="89"/>
      <c r="AW899" s="89"/>
      <c r="AX899" s="89"/>
      <c r="AY899" s="89"/>
      <c r="AZ899" s="89"/>
      <c r="BA899" s="89"/>
      <c r="BB899" s="89"/>
      <c r="BC899" s="89"/>
      <c r="BD899" s="89"/>
      <c r="BE899" s="89"/>
      <c r="BF899" s="89"/>
    </row>
    <row r="900" spans="1:58" s="14" customFormat="1" ht="14.1" customHeight="1">
      <c r="A900" s="412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  <c r="AA900" s="89"/>
      <c r="AB900" s="89"/>
      <c r="AC900" s="89"/>
      <c r="AD900" s="89"/>
      <c r="AE900" s="89"/>
      <c r="AF900" s="89"/>
      <c r="AG900" s="89"/>
      <c r="AH900" s="89"/>
      <c r="AI900" s="89"/>
      <c r="AJ900" s="89"/>
      <c r="AK900" s="89"/>
      <c r="AL900" s="89"/>
      <c r="AM900" s="89"/>
      <c r="AN900" s="89"/>
      <c r="AO900" s="89"/>
      <c r="AP900" s="89"/>
      <c r="AQ900" s="89"/>
      <c r="AR900" s="89"/>
      <c r="AS900" s="89"/>
      <c r="AT900" s="89"/>
      <c r="AU900" s="89"/>
      <c r="AV900" s="89"/>
      <c r="AW900" s="89"/>
      <c r="AX900" s="89"/>
      <c r="AY900" s="89"/>
      <c r="AZ900" s="89"/>
      <c r="BA900" s="89"/>
      <c r="BB900" s="89"/>
      <c r="BC900" s="89"/>
      <c r="BD900" s="89"/>
      <c r="BE900" s="89"/>
      <c r="BF900" s="89"/>
    </row>
    <row r="901" spans="1:58" s="14" customFormat="1" ht="14.1" customHeight="1">
      <c r="A901" s="412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  <c r="AA901" s="89"/>
      <c r="AB901" s="89"/>
      <c r="AC901" s="89"/>
      <c r="AD901" s="89"/>
      <c r="AE901" s="89"/>
      <c r="AF901" s="89"/>
      <c r="AG901" s="89"/>
      <c r="AH901" s="89"/>
      <c r="AI901" s="89"/>
      <c r="AJ901" s="89"/>
      <c r="AK901" s="89"/>
      <c r="AL901" s="89"/>
      <c r="AM901" s="89"/>
      <c r="AN901" s="89"/>
      <c r="AO901" s="89"/>
      <c r="AP901" s="89"/>
      <c r="AQ901" s="89"/>
      <c r="AR901" s="89"/>
      <c r="AS901" s="89"/>
      <c r="AT901" s="89"/>
      <c r="AU901" s="89"/>
      <c r="AV901" s="89"/>
      <c r="AW901" s="89"/>
      <c r="AX901" s="89"/>
      <c r="AY901" s="89"/>
      <c r="AZ901" s="89"/>
      <c r="BA901" s="89"/>
      <c r="BB901" s="89"/>
      <c r="BC901" s="89"/>
      <c r="BD901" s="89"/>
      <c r="BE901" s="89"/>
      <c r="BF901" s="89"/>
    </row>
  </sheetData>
  <pageMargins left="0.5" right="0.5" top="0.76" bottom="0.38" header="0.5" footer="0.22"/>
  <pageSetup scale="53" fitToHeight="13" orientation="landscape" r:id="rId1"/>
  <headerFooter alignWithMargins="0">
    <oddHeader xml:space="preserve">&amp;C&amp;12KENTUCKY POWER COMPANY
JURISDICTIONAL COST OF SERVICE 
TEST YEAR ENDED FEBRUARY 28, 2017
&amp;14
&amp;R&amp;12SECTION V
SCHEDULE 5
</oddHeader>
  </headerFooter>
  <rowBreaks count="8" manualBreakCount="8">
    <brk id="56" max="53" man="1"/>
    <brk id="111" max="53" man="1"/>
    <brk id="166" max="53" man="1"/>
    <brk id="223" max="53" man="1"/>
    <brk id="275" max="53" man="1"/>
    <brk id="389" max="53" man="1"/>
    <brk id="450" max="53" man="1"/>
    <brk id="502" max="53" man="1"/>
  </rowBreaks>
  <colBreaks count="2" manualBreakCount="2">
    <brk id="40" max="507" man="1"/>
    <brk id="53" max="507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="110" zoomScaleNormal="110" workbookViewId="0">
      <selection sqref="A1:XFD1048576"/>
    </sheetView>
  </sheetViews>
  <sheetFormatPr defaultColWidth="9.140625" defaultRowHeight="12.75"/>
  <cols>
    <col min="1" max="1" width="9.140625" style="89"/>
    <col min="2" max="2" width="41" style="89" customWidth="1"/>
    <col min="3" max="3" width="15.7109375" style="89" bestFit="1" customWidth="1"/>
    <col min="4" max="4" width="1.7109375" style="22" customWidth="1"/>
    <col min="5" max="5" width="12.140625" style="89" customWidth="1"/>
    <col min="6" max="6" width="1.7109375" style="22" customWidth="1"/>
    <col min="7" max="7" width="13.85546875" style="89" bestFit="1" customWidth="1"/>
    <col min="8" max="8" width="1.85546875" style="22" customWidth="1"/>
    <col min="9" max="9" width="13.28515625" style="89" bestFit="1" customWidth="1"/>
    <col min="10" max="10" width="1.85546875" style="89" customWidth="1"/>
    <col min="11" max="11" width="13.28515625" style="22" bestFit="1" customWidth="1"/>
    <col min="12" max="12" width="1.85546875" style="22" customWidth="1"/>
    <col min="13" max="13" width="13.28515625" style="22" bestFit="1" customWidth="1"/>
    <col min="14" max="14" width="20" style="66" bestFit="1" customWidth="1"/>
    <col min="15" max="15" width="13.85546875" style="22" bestFit="1" customWidth="1"/>
    <col min="16" max="16" width="11.140625" style="22" bestFit="1" customWidth="1"/>
    <col min="17" max="17" width="5.85546875" style="89" customWidth="1"/>
    <col min="18" max="18" width="15.42578125" style="89" customWidth="1"/>
    <col min="19" max="16384" width="9.140625" style="89"/>
  </cols>
  <sheetData>
    <row r="1" spans="1:18">
      <c r="A1" s="426" t="s">
        <v>334</v>
      </c>
      <c r="B1" s="426"/>
      <c r="C1" s="426"/>
      <c r="D1" s="426"/>
      <c r="E1" s="426"/>
      <c r="F1" s="426"/>
      <c r="G1" s="426"/>
      <c r="H1" s="426"/>
      <c r="I1" s="426"/>
    </row>
    <row r="2" spans="1:18">
      <c r="A2" s="426" t="s">
        <v>1013</v>
      </c>
      <c r="B2" s="426"/>
      <c r="C2" s="426"/>
      <c r="D2" s="426"/>
      <c r="E2" s="426"/>
      <c r="F2" s="426"/>
      <c r="G2" s="426"/>
      <c r="H2" s="426"/>
      <c r="I2" s="426"/>
    </row>
    <row r="3" spans="1:18">
      <c r="A3" s="426" t="s">
        <v>1004</v>
      </c>
      <c r="B3" s="426"/>
      <c r="C3" s="426"/>
      <c r="D3" s="426"/>
      <c r="E3" s="426"/>
      <c r="F3" s="426"/>
      <c r="G3" s="426"/>
      <c r="H3" s="426"/>
      <c r="I3" s="426"/>
    </row>
    <row r="5" spans="1:18" ht="38.25">
      <c r="A5" s="105" t="s">
        <v>404</v>
      </c>
      <c r="B5" s="107" t="s">
        <v>405</v>
      </c>
      <c r="C5" s="87" t="s">
        <v>422</v>
      </c>
      <c r="D5" s="219"/>
      <c r="E5" s="87" t="s">
        <v>423</v>
      </c>
      <c r="F5" s="219"/>
      <c r="G5" s="87" t="s">
        <v>424</v>
      </c>
      <c r="H5" s="219"/>
      <c r="I5" s="87" t="s">
        <v>425</v>
      </c>
      <c r="K5" s="373" t="s">
        <v>59</v>
      </c>
      <c r="L5" s="373"/>
      <c r="M5" s="243" t="s">
        <v>154</v>
      </c>
    </row>
    <row r="7" spans="1:18">
      <c r="B7" s="44" t="s">
        <v>187</v>
      </c>
    </row>
    <row r="8" spans="1:18">
      <c r="B8" s="44" t="s">
        <v>188</v>
      </c>
      <c r="M8" s="425"/>
      <c r="N8" s="425"/>
    </row>
    <row r="9" spans="1:18">
      <c r="A9" s="89">
        <v>500</v>
      </c>
      <c r="B9" s="89" t="s">
        <v>406</v>
      </c>
      <c r="C9" s="90">
        <f>'Sch 4'!C307</f>
        <v>3594883.0720000002</v>
      </c>
      <c r="D9" s="66"/>
      <c r="E9" s="90">
        <v>654659</v>
      </c>
      <c r="F9" s="66"/>
      <c r="G9" s="90">
        <f>ROUND(E9/($E$53-$E$51)*$C$51,0)</f>
        <v>468371</v>
      </c>
      <c r="H9" s="66"/>
      <c r="I9" s="90">
        <f>C9+G9</f>
        <v>4063254.0720000002</v>
      </c>
      <c r="K9" s="231">
        <f>I9</f>
        <v>4063254.0720000002</v>
      </c>
      <c r="N9" s="66" t="s">
        <v>341</v>
      </c>
    </row>
    <row r="10" spans="1:18">
      <c r="A10" s="89">
        <v>501</v>
      </c>
      <c r="B10" s="89" t="s">
        <v>407</v>
      </c>
      <c r="C10" s="90">
        <f>'Sch 4'!C308+'Sch 4'!C310+'Sch 4'!C309</f>
        <v>111486364.21000001</v>
      </c>
      <c r="D10" s="66"/>
      <c r="E10" s="90">
        <v>67234</v>
      </c>
      <c r="F10" s="66"/>
      <c r="G10" s="90">
        <f>ROUND(E10/($E$53-$E$51)*$C$51,0)</f>
        <v>48102</v>
      </c>
      <c r="H10" s="66"/>
      <c r="I10" s="90">
        <f t="shared" ref="I10:I16" si="0">C10+G10</f>
        <v>111534466.21000001</v>
      </c>
      <c r="M10" s="231">
        <f>I10</f>
        <v>111534466.21000001</v>
      </c>
      <c r="N10" s="66" t="s">
        <v>344</v>
      </c>
      <c r="R10" s="220"/>
    </row>
    <row r="11" spans="1:18">
      <c r="A11" s="89">
        <v>5010005</v>
      </c>
      <c r="B11" s="89" t="s">
        <v>408</v>
      </c>
      <c r="C11" s="90">
        <f>'Sch 4'!C311</f>
        <v>-2385816.3199999998</v>
      </c>
      <c r="D11" s="66"/>
      <c r="E11" s="90">
        <v>0</v>
      </c>
      <c r="F11" s="66"/>
      <c r="G11" s="90">
        <f t="shared" ref="G11:G16" si="1">ROUND(E11/($E$53-$E$51)*$C$51,0)</f>
        <v>0</v>
      </c>
      <c r="H11" s="66"/>
      <c r="I11" s="90">
        <f>C11+G11</f>
        <v>-2385816.3199999998</v>
      </c>
      <c r="M11" s="231">
        <f>I11</f>
        <v>-2385816.3199999998</v>
      </c>
      <c r="N11" s="66" t="s">
        <v>344</v>
      </c>
      <c r="R11" s="220"/>
    </row>
    <row r="12" spans="1:18">
      <c r="A12" s="89">
        <v>502</v>
      </c>
      <c r="B12" s="89" t="s">
        <v>409</v>
      </c>
      <c r="C12" s="90">
        <f>'Sch 4'!C312</f>
        <v>6346769.7000000011</v>
      </c>
      <c r="D12" s="66"/>
      <c r="E12" s="90">
        <v>736405</v>
      </c>
      <c r="F12" s="66"/>
      <c r="G12" s="90">
        <f>ROUND(E12/($E$53-$E$51)*$C$51,0)</f>
        <v>526856</v>
      </c>
      <c r="H12" s="66"/>
      <c r="I12" s="90">
        <f>C12+G12</f>
        <v>6873625.7000000011</v>
      </c>
      <c r="K12" s="231">
        <f>I12*0.34</f>
        <v>2337032.7380000004</v>
      </c>
      <c r="M12" s="231">
        <f>I12-K12</f>
        <v>4536592.9620000012</v>
      </c>
      <c r="N12" s="66" t="s">
        <v>979</v>
      </c>
      <c r="R12" s="220"/>
    </row>
    <row r="13" spans="1:18">
      <c r="A13" s="89">
        <v>505</v>
      </c>
      <c r="B13" s="89" t="s">
        <v>410</v>
      </c>
      <c r="C13" s="90">
        <f>'Sch 4'!C315</f>
        <v>112272.47</v>
      </c>
      <c r="D13" s="66"/>
      <c r="E13" s="90">
        <v>901</v>
      </c>
      <c r="F13" s="66"/>
      <c r="G13" s="90">
        <f t="shared" si="1"/>
        <v>645</v>
      </c>
      <c r="H13" s="66"/>
      <c r="I13" s="90">
        <f t="shared" si="0"/>
        <v>112917.47</v>
      </c>
      <c r="K13" s="231">
        <f>I13*0.34</f>
        <v>38391.9398</v>
      </c>
      <c r="M13" s="231">
        <f>I13-K13</f>
        <v>74525.530200000008</v>
      </c>
      <c r="N13" s="66" t="s">
        <v>979</v>
      </c>
      <c r="R13" s="220"/>
    </row>
    <row r="14" spans="1:18">
      <c r="A14" s="89">
        <v>506</v>
      </c>
      <c r="B14" s="89" t="s">
        <v>411</v>
      </c>
      <c r="C14" s="90">
        <f>'Sch 4'!C316+'Sch 4'!C317</f>
        <v>10971738.1</v>
      </c>
      <c r="D14" s="66"/>
      <c r="E14" s="90">
        <v>5153598</v>
      </c>
      <c r="F14" s="66"/>
      <c r="G14" s="90">
        <f t="shared" si="1"/>
        <v>3687104</v>
      </c>
      <c r="H14" s="66"/>
      <c r="I14" s="90">
        <f t="shared" si="0"/>
        <v>14658842.1</v>
      </c>
      <c r="K14" s="231">
        <f>I14</f>
        <v>14658842.1</v>
      </c>
      <c r="M14" s="22">
        <v>0</v>
      </c>
      <c r="N14" s="66" t="s">
        <v>341</v>
      </c>
      <c r="R14" s="220"/>
    </row>
    <row r="15" spans="1:18">
      <c r="A15" s="89">
        <v>507</v>
      </c>
      <c r="B15" s="89" t="s">
        <v>412</v>
      </c>
      <c r="C15" s="90">
        <f>'Sch 4'!C317</f>
        <v>0</v>
      </c>
      <c r="D15" s="66"/>
      <c r="E15" s="90">
        <v>0</v>
      </c>
      <c r="F15" s="66"/>
      <c r="G15" s="90">
        <f t="shared" si="1"/>
        <v>0</v>
      </c>
      <c r="H15" s="66"/>
      <c r="I15" s="90">
        <f t="shared" si="0"/>
        <v>0</v>
      </c>
      <c r="K15" s="231">
        <f>C15</f>
        <v>0</v>
      </c>
      <c r="M15" s="22">
        <v>0</v>
      </c>
      <c r="N15" s="66" t="s">
        <v>341</v>
      </c>
      <c r="R15" s="220"/>
    </row>
    <row r="16" spans="1:18">
      <c r="A16" s="89">
        <v>509</v>
      </c>
      <c r="B16" s="89" t="s">
        <v>413</v>
      </c>
      <c r="C16" s="221">
        <f>'Sch 4'!C319</f>
        <v>390803.32</v>
      </c>
      <c r="D16" s="66"/>
      <c r="E16" s="221">
        <v>0</v>
      </c>
      <c r="F16" s="66"/>
      <c r="G16" s="221">
        <f t="shared" si="1"/>
        <v>0</v>
      </c>
      <c r="H16" s="66"/>
      <c r="I16" s="221">
        <f t="shared" si="0"/>
        <v>390803.32</v>
      </c>
      <c r="K16" s="56"/>
      <c r="M16" s="244">
        <f>I16</f>
        <v>390803.32</v>
      </c>
      <c r="N16" s="66" t="s">
        <v>344</v>
      </c>
      <c r="R16" s="220"/>
    </row>
    <row r="17" spans="1:19">
      <c r="C17" s="90"/>
      <c r="D17" s="66"/>
      <c r="E17" s="90"/>
      <c r="F17" s="66"/>
      <c r="G17" s="90"/>
      <c r="H17" s="66"/>
      <c r="I17" s="90"/>
      <c r="R17" s="220"/>
    </row>
    <row r="18" spans="1:19">
      <c r="B18" s="20" t="s">
        <v>196</v>
      </c>
      <c r="C18" s="90">
        <f>SUM(C9:C17)</f>
        <v>130517014.552</v>
      </c>
      <c r="D18" s="66"/>
      <c r="E18" s="90">
        <f>SUM(E9:E17)</f>
        <v>6612797</v>
      </c>
      <c r="F18" s="66"/>
      <c r="G18" s="90">
        <f>SUM(G9:G17)</f>
        <v>4731078</v>
      </c>
      <c r="H18" s="66"/>
      <c r="I18" s="90">
        <f>SUM(I9:I17)</f>
        <v>135248092.55200002</v>
      </c>
      <c r="K18" s="90">
        <f>SUM(K9:K17)</f>
        <v>21097520.849799998</v>
      </c>
      <c r="M18" s="90">
        <f>SUM(M9:M17)</f>
        <v>114150571.70220001</v>
      </c>
      <c r="R18" s="220"/>
    </row>
    <row r="19" spans="1:19">
      <c r="C19" s="90"/>
      <c r="D19" s="66"/>
      <c r="E19" s="90"/>
      <c r="F19" s="66"/>
      <c r="G19" s="90"/>
      <c r="H19" s="66"/>
      <c r="I19" s="90"/>
      <c r="Q19" s="22"/>
      <c r="R19" s="220"/>
    </row>
    <row r="20" spans="1:19">
      <c r="C20" s="90"/>
      <c r="D20" s="66"/>
      <c r="E20" s="90"/>
      <c r="F20" s="66"/>
      <c r="G20" s="90"/>
      <c r="H20" s="66"/>
      <c r="I20" s="90"/>
      <c r="Q20" s="22"/>
      <c r="R20" s="220"/>
    </row>
    <row r="21" spans="1:19">
      <c r="B21" s="222" t="s">
        <v>414</v>
      </c>
      <c r="C21" s="90"/>
      <c r="D21" s="66"/>
      <c r="E21" s="90"/>
      <c r="F21" s="66"/>
      <c r="G21" s="90"/>
      <c r="H21" s="66"/>
      <c r="I21" s="90"/>
      <c r="Q21" s="22"/>
      <c r="R21" s="220"/>
    </row>
    <row r="22" spans="1:19">
      <c r="A22" s="89">
        <v>510</v>
      </c>
      <c r="B22" s="205" t="s">
        <v>406</v>
      </c>
      <c r="C22" s="90">
        <f>'Sch 4'!C322</f>
        <v>2598114.29</v>
      </c>
      <c r="D22" s="66"/>
      <c r="E22" s="90">
        <v>2228284</v>
      </c>
      <c r="F22" s="66"/>
      <c r="G22" s="90">
        <f>ROUND(E22/($E$53-$E$51)*$C$51,0)</f>
        <v>1594210</v>
      </c>
      <c r="H22" s="66"/>
      <c r="I22" s="90">
        <f>C22+G22</f>
        <v>4192324.29</v>
      </c>
      <c r="K22" s="231">
        <f>I22</f>
        <v>4192324.29</v>
      </c>
      <c r="N22" s="66" t="s">
        <v>341</v>
      </c>
      <c r="Q22" s="22"/>
      <c r="R22" s="220"/>
    </row>
    <row r="23" spans="1:19">
      <c r="A23" s="89">
        <v>511</v>
      </c>
      <c r="B23" s="223" t="s">
        <v>416</v>
      </c>
      <c r="C23" s="90">
        <f>'Sch 4'!C323</f>
        <v>1636922.31</v>
      </c>
      <c r="D23" s="66"/>
      <c r="E23" s="90">
        <v>263154</v>
      </c>
      <c r="F23" s="66"/>
      <c r="G23" s="90">
        <f>ROUND(E23/($E$53-$E$51)*$C$51,0)</f>
        <v>188272</v>
      </c>
      <c r="H23" s="66"/>
      <c r="I23" s="90">
        <f>C23+G23</f>
        <v>1825194.31</v>
      </c>
      <c r="K23" s="231">
        <f>I23</f>
        <v>1825194.31</v>
      </c>
      <c r="N23" s="66" t="s">
        <v>341</v>
      </c>
      <c r="Q23" s="22"/>
      <c r="R23" s="224"/>
    </row>
    <row r="24" spans="1:19">
      <c r="A24" s="89">
        <v>512</v>
      </c>
      <c r="B24" s="205" t="s">
        <v>417</v>
      </c>
      <c r="C24" s="90">
        <f>'Sch 4'!C324</f>
        <v>14685612.15</v>
      </c>
      <c r="D24" s="66"/>
      <c r="E24" s="90">
        <v>5023084</v>
      </c>
      <c r="F24" s="66"/>
      <c r="G24" s="90">
        <f>ROUND(E24/($E$53-$E$51)*$C$51,0)</f>
        <v>3593729</v>
      </c>
      <c r="H24" s="66"/>
      <c r="I24" s="90">
        <f>C24+G24</f>
        <v>18279341.149999999</v>
      </c>
      <c r="K24" s="231">
        <f>I24*0.34</f>
        <v>6214975.9910000004</v>
      </c>
      <c r="M24" s="231">
        <f>I24-K24</f>
        <v>12064365.158999998</v>
      </c>
      <c r="N24" s="66" t="s">
        <v>979</v>
      </c>
      <c r="Q24" s="22"/>
      <c r="R24" s="224"/>
      <c r="S24" s="22"/>
    </row>
    <row r="25" spans="1:19">
      <c r="A25" s="89">
        <v>513</v>
      </c>
      <c r="B25" s="205" t="s">
        <v>418</v>
      </c>
      <c r="C25" s="90">
        <f>'Sch 4'!C325</f>
        <v>4710892.99</v>
      </c>
      <c r="D25" s="66"/>
      <c r="E25" s="90">
        <v>1370195</v>
      </c>
      <c r="F25" s="66"/>
      <c r="G25" s="90">
        <f>ROUND(E25/($E$53-$E$51)*$C$51,0)</f>
        <v>980296</v>
      </c>
      <c r="H25" s="66"/>
      <c r="I25" s="90">
        <f>C25+G25</f>
        <v>5691188.9900000002</v>
      </c>
      <c r="K25" s="231">
        <f>I25</f>
        <v>5691188.9900000002</v>
      </c>
      <c r="N25" s="66" t="s">
        <v>341</v>
      </c>
      <c r="Q25" s="22"/>
      <c r="R25" s="224"/>
      <c r="S25" s="22"/>
    </row>
    <row r="26" spans="1:19">
      <c r="A26" s="89" t="s">
        <v>415</v>
      </c>
      <c r="B26" s="205" t="s">
        <v>419</v>
      </c>
      <c r="C26" s="221">
        <f>'Sch 4'!C326</f>
        <v>1834246.21</v>
      </c>
      <c r="D26" s="66"/>
      <c r="E26" s="221">
        <v>733618</v>
      </c>
      <c r="F26" s="66"/>
      <c r="G26" s="221">
        <f>ROUND(E26/($E$53-$E$51)*$C$51,0)</f>
        <v>524862</v>
      </c>
      <c r="H26" s="66"/>
      <c r="I26" s="221">
        <f>C26+G26</f>
        <v>2359108.21</v>
      </c>
      <c r="K26" s="244">
        <f>I26</f>
        <v>2359108.21</v>
      </c>
      <c r="M26" s="56"/>
      <c r="N26" s="66" t="s">
        <v>341</v>
      </c>
      <c r="Q26" s="22"/>
      <c r="R26" s="224"/>
      <c r="S26" s="22"/>
    </row>
    <row r="27" spans="1:19">
      <c r="C27" s="90"/>
      <c r="D27" s="66"/>
      <c r="E27" s="90"/>
      <c r="F27" s="66"/>
      <c r="G27" s="90"/>
      <c r="H27" s="66"/>
      <c r="I27" s="90"/>
      <c r="Q27" s="22"/>
      <c r="R27" s="224"/>
      <c r="S27" s="22"/>
    </row>
    <row r="28" spans="1:19">
      <c r="B28" s="225" t="s">
        <v>421</v>
      </c>
      <c r="C28" s="90">
        <f>SUM(C22:C27)</f>
        <v>25465787.950000003</v>
      </c>
      <c r="D28" s="66"/>
      <c r="E28" s="90">
        <f>SUM(E22:E27)</f>
        <v>9618335</v>
      </c>
      <c r="F28" s="66"/>
      <c r="G28" s="90">
        <f>SUM(G22:G27)</f>
        <v>6881369</v>
      </c>
      <c r="H28" s="66"/>
      <c r="I28" s="90">
        <f>SUM(I22:I27)</f>
        <v>32347156.950000003</v>
      </c>
      <c r="K28" s="90">
        <f>SUM(K22:K27)</f>
        <v>20282791.791000001</v>
      </c>
      <c r="M28" s="90">
        <f>SUM(M22:M27)</f>
        <v>12064365.158999998</v>
      </c>
      <c r="Q28" s="22"/>
      <c r="R28" s="220"/>
      <c r="S28" s="22"/>
    </row>
    <row r="29" spans="1:19">
      <c r="B29" s="205"/>
      <c r="C29" s="90"/>
      <c r="D29" s="66"/>
      <c r="E29" s="90"/>
      <c r="F29" s="66"/>
      <c r="G29" s="90"/>
      <c r="H29" s="66"/>
      <c r="I29" s="90"/>
      <c r="Q29" s="22"/>
      <c r="R29" s="220"/>
      <c r="S29" s="22"/>
    </row>
    <row r="30" spans="1:19">
      <c r="B30" s="205"/>
      <c r="C30" s="90"/>
      <c r="D30" s="66"/>
      <c r="E30" s="90"/>
      <c r="F30" s="66"/>
      <c r="G30" s="90"/>
      <c r="H30" s="66"/>
      <c r="I30" s="90"/>
      <c r="Q30" s="22"/>
      <c r="R30" s="220"/>
      <c r="S30" s="22"/>
    </row>
    <row r="31" spans="1:19">
      <c r="B31" s="225" t="s">
        <v>420</v>
      </c>
      <c r="C31" s="90">
        <f>C18+C28</f>
        <v>155982802.502</v>
      </c>
      <c r="D31" s="66"/>
      <c r="E31" s="90">
        <f>E18+E28</f>
        <v>16231132</v>
      </c>
      <c r="F31" s="66"/>
      <c r="G31" s="90">
        <f>G18+G28</f>
        <v>11612447</v>
      </c>
      <c r="H31" s="66"/>
      <c r="I31" s="90">
        <f>I18+I28</f>
        <v>167595249.50200003</v>
      </c>
      <c r="K31" s="90">
        <f>K18+K28</f>
        <v>41380312.640799999</v>
      </c>
      <c r="M31" s="90">
        <f>M18+M28</f>
        <v>126214936.8612</v>
      </c>
      <c r="Q31" s="22"/>
      <c r="R31" s="220"/>
      <c r="S31" s="22"/>
    </row>
    <row r="32" spans="1:19">
      <c r="C32" s="90"/>
      <c r="D32" s="66"/>
      <c r="E32" s="90"/>
      <c r="F32" s="66"/>
      <c r="G32" s="90"/>
      <c r="H32" s="66"/>
      <c r="I32" s="90"/>
      <c r="Q32" s="22"/>
      <c r="R32" s="220"/>
      <c r="S32" s="22"/>
    </row>
    <row r="33" spans="2:19">
      <c r="C33" s="90"/>
      <c r="D33" s="66"/>
      <c r="E33" s="90"/>
      <c r="F33" s="66"/>
      <c r="G33" s="90"/>
      <c r="H33" s="66"/>
      <c r="I33" s="90"/>
      <c r="K33" s="373"/>
      <c r="Q33" s="22"/>
      <c r="R33" s="220"/>
      <c r="S33" s="22"/>
    </row>
    <row r="34" spans="2:19">
      <c r="B34" s="205" t="s">
        <v>903</v>
      </c>
      <c r="C34" s="90">
        <f>(+'Sch 4'!C295)*-1</f>
        <v>-60425243.240000002</v>
      </c>
      <c r="D34" s="66"/>
      <c r="E34" s="90">
        <v>0</v>
      </c>
      <c r="F34" s="66"/>
      <c r="G34" s="90">
        <v>0</v>
      </c>
      <c r="H34" s="66"/>
      <c r="I34" s="90">
        <f>C34+G34</f>
        <v>-60425243.240000002</v>
      </c>
      <c r="K34" s="259">
        <f>I34</f>
        <v>-60425243.240000002</v>
      </c>
      <c r="N34" s="66" t="s">
        <v>362</v>
      </c>
      <c r="Q34" s="22"/>
      <c r="R34" s="220"/>
      <c r="S34" s="22"/>
    </row>
    <row r="35" spans="2:19">
      <c r="B35" s="205"/>
      <c r="C35" s="90"/>
      <c r="D35" s="66"/>
      <c r="E35" s="90"/>
      <c r="F35" s="66"/>
      <c r="G35" s="90"/>
      <c r="H35" s="66"/>
      <c r="I35" s="90"/>
      <c r="Q35" s="22"/>
      <c r="R35" s="220"/>
      <c r="S35" s="22"/>
    </row>
    <row r="36" spans="2:19">
      <c r="B36" s="205" t="s">
        <v>970</v>
      </c>
      <c r="C36" s="90">
        <f>'Sch 4'!C349</f>
        <v>118609.60000000001</v>
      </c>
      <c r="D36" s="66"/>
      <c r="E36" s="209"/>
      <c r="F36" s="210"/>
      <c r="G36" s="90"/>
      <c r="H36" s="66"/>
      <c r="I36" s="90">
        <f>C36+G36</f>
        <v>118609.60000000001</v>
      </c>
      <c r="K36" s="66">
        <f>I36</f>
        <v>118609.60000000001</v>
      </c>
      <c r="N36" s="25" t="s">
        <v>346</v>
      </c>
      <c r="R36" s="220"/>
      <c r="S36" s="22"/>
    </row>
    <row r="37" spans="2:19">
      <c r="B37" s="205" t="s">
        <v>900</v>
      </c>
      <c r="C37" s="90">
        <f>'Sch 4'!C347-'Sch 4'!C293</f>
        <v>69646302.819999993</v>
      </c>
      <c r="D37" s="66"/>
      <c r="E37" s="226"/>
      <c r="F37" s="227"/>
      <c r="G37" s="90"/>
      <c r="H37" s="66"/>
      <c r="I37" s="90">
        <f>C37+G37</f>
        <v>69646302.819999993</v>
      </c>
      <c r="K37" s="66">
        <f>I37</f>
        <v>69646302.819999993</v>
      </c>
      <c r="N37" s="66" t="s">
        <v>362</v>
      </c>
      <c r="R37" s="220"/>
      <c r="S37" s="22"/>
    </row>
    <row r="38" spans="2:19">
      <c r="B38" s="205" t="s">
        <v>901</v>
      </c>
      <c r="C38" s="90">
        <f>'Sch 4'!C348-'Sch 4'!C294</f>
        <v>566355.9</v>
      </c>
      <c r="D38" s="66"/>
      <c r="E38" s="226"/>
      <c r="F38" s="227"/>
      <c r="G38" s="90"/>
      <c r="H38" s="66"/>
      <c r="I38" s="90">
        <f>C38+G38</f>
        <v>566355.9</v>
      </c>
      <c r="K38" s="66"/>
      <c r="M38" s="231">
        <f>I38</f>
        <v>566355.9</v>
      </c>
      <c r="N38" s="66" t="s">
        <v>362</v>
      </c>
      <c r="R38" s="220"/>
      <c r="S38" s="22"/>
    </row>
    <row r="39" spans="2:19">
      <c r="B39" s="205" t="s">
        <v>902</v>
      </c>
      <c r="C39" s="217">
        <f>SUM('Sch 4'!C341:C346,'Sch 4'!C351:C352,'Sch 4'!C356:C361)</f>
        <v>8805371.3699999992</v>
      </c>
      <c r="D39" s="66"/>
      <c r="E39" s="209">
        <v>58145</v>
      </c>
      <c r="F39" s="210"/>
      <c r="G39" s="90">
        <f>ROUND(E39/($E$53-$E$51)*$C$51,0)</f>
        <v>41599</v>
      </c>
      <c r="H39" s="66"/>
      <c r="I39" s="90">
        <f>C39+G39</f>
        <v>8846970.3699999992</v>
      </c>
      <c r="K39" s="66">
        <f>I39</f>
        <v>8846970.3699999992</v>
      </c>
      <c r="N39" s="25" t="s">
        <v>346</v>
      </c>
      <c r="S39" s="22"/>
    </row>
    <row r="40" spans="2:19">
      <c r="B40" s="205" t="s">
        <v>426</v>
      </c>
      <c r="C40" s="221">
        <f>'Sch 4'!C350</f>
        <v>24061</v>
      </c>
      <c r="D40" s="66"/>
      <c r="E40" s="228"/>
      <c r="F40" s="227"/>
      <c r="G40" s="221"/>
      <c r="H40" s="66"/>
      <c r="I40" s="221">
        <f>C40+G40</f>
        <v>24061</v>
      </c>
      <c r="K40" s="221"/>
      <c r="M40" s="56"/>
      <c r="N40" s="66" t="s">
        <v>884</v>
      </c>
      <c r="S40" s="22"/>
    </row>
    <row r="41" spans="2:19">
      <c r="B41" s="225" t="s">
        <v>210</v>
      </c>
      <c r="C41" s="90">
        <f>SUM(C36:C40)</f>
        <v>79160700.689999998</v>
      </c>
      <c r="D41" s="66"/>
      <c r="E41" s="90">
        <f>SUM(E36:E40)</f>
        <v>58145</v>
      </c>
      <c r="F41" s="66"/>
      <c r="G41" s="90">
        <f>SUM(G36:G40)</f>
        <v>41599</v>
      </c>
      <c r="H41" s="66"/>
      <c r="I41" s="90">
        <f>SUM(I36:I40)</f>
        <v>79202299.689999998</v>
      </c>
      <c r="K41" s="90">
        <f>SUM(K36:K40)</f>
        <v>78611882.789999992</v>
      </c>
      <c r="M41" s="90">
        <f>SUM(M36:M40)</f>
        <v>566355.9</v>
      </c>
    </row>
    <row r="42" spans="2:19">
      <c r="B42" s="205"/>
      <c r="C42" s="90"/>
      <c r="D42" s="66"/>
      <c r="E42" s="90"/>
      <c r="F42" s="66"/>
      <c r="G42" s="90"/>
      <c r="H42" s="66"/>
      <c r="I42" s="90"/>
    </row>
    <row r="43" spans="2:19">
      <c r="B43" s="205"/>
      <c r="C43" s="90"/>
      <c r="D43" s="66"/>
      <c r="E43" s="90"/>
      <c r="F43" s="66"/>
      <c r="G43" s="90"/>
      <c r="H43" s="66"/>
      <c r="I43" s="90"/>
      <c r="M43" s="425"/>
      <c r="N43" s="425"/>
    </row>
    <row r="44" spans="2:19">
      <c r="B44" s="205" t="s">
        <v>371</v>
      </c>
      <c r="C44" s="90">
        <f>'Sch 4'!C362</f>
        <v>1007370.04</v>
      </c>
      <c r="D44" s="66"/>
      <c r="E44" s="209">
        <v>0</v>
      </c>
      <c r="F44" s="210"/>
      <c r="G44" s="90">
        <f>ROUND(E44/($E$53-$E$51)*$C$51,0)</f>
        <v>0</v>
      </c>
      <c r="H44" s="66"/>
      <c r="I44" s="90">
        <f>C44+G44</f>
        <v>1007370.04</v>
      </c>
      <c r="K44" s="231">
        <f>C44</f>
        <v>1007370.04</v>
      </c>
      <c r="N44" s="66" t="s">
        <v>346</v>
      </c>
    </row>
    <row r="45" spans="2:19">
      <c r="B45" s="205" t="s">
        <v>434</v>
      </c>
      <c r="C45" s="90">
        <f>'Sch 4'!C378</f>
        <v>8979970.8099999987</v>
      </c>
      <c r="D45" s="66"/>
      <c r="E45" s="209">
        <v>3477610</v>
      </c>
      <c r="F45" s="210"/>
      <c r="G45" s="90">
        <f>ROUND(E45/($E$53-$E$51)*$C$51,0)</f>
        <v>2488031</v>
      </c>
      <c r="H45" s="66"/>
      <c r="I45" s="90">
        <f t="shared" ref="I45:I51" si="2">C45+G45</f>
        <v>11468001.809999999</v>
      </c>
      <c r="K45" s="231">
        <f t="shared" ref="K45:K49" si="3">C45</f>
        <v>8979970.8099999987</v>
      </c>
      <c r="N45" s="66" t="s">
        <v>348</v>
      </c>
    </row>
    <row r="46" spans="2:19">
      <c r="B46" s="205" t="s">
        <v>435</v>
      </c>
      <c r="C46" s="90">
        <f>+'Sch 4'!C391</f>
        <v>40451262.079999998</v>
      </c>
      <c r="D46" s="66"/>
      <c r="E46" s="209">
        <v>6382917</v>
      </c>
      <c r="F46" s="210"/>
      <c r="G46" s="90">
        <f>ROUND(E46/($E$53-$E$51)*$C$51,0)</f>
        <v>4566612</v>
      </c>
      <c r="H46" s="66"/>
      <c r="I46" s="90">
        <f t="shared" si="2"/>
        <v>45017874.079999998</v>
      </c>
      <c r="K46" s="231">
        <f t="shared" si="3"/>
        <v>40451262.079999998</v>
      </c>
      <c r="N46" s="66" t="s">
        <v>348</v>
      </c>
    </row>
    <row r="47" spans="2:19">
      <c r="B47" s="205" t="s">
        <v>427</v>
      </c>
      <c r="C47" s="90">
        <f>'Sch 4'!C402</f>
        <v>5767894.8599999994</v>
      </c>
      <c r="D47" s="66"/>
      <c r="E47" s="209">
        <v>1386556</v>
      </c>
      <c r="F47" s="210"/>
      <c r="G47" s="90">
        <f>ROUND(E47/($E$53-$E$51)*$C$51,0)</f>
        <v>992001</v>
      </c>
      <c r="H47" s="66"/>
      <c r="I47" s="90">
        <f t="shared" si="2"/>
        <v>6759895.8599999994</v>
      </c>
      <c r="K47" s="231">
        <f t="shared" si="3"/>
        <v>5767894.8599999994</v>
      </c>
      <c r="N47" s="66" t="s">
        <v>816</v>
      </c>
    </row>
    <row r="48" spans="2:19">
      <c r="B48" s="205" t="s">
        <v>428</v>
      </c>
      <c r="C48" s="90">
        <f>'Sch 4'!C409</f>
        <v>8570079.620000001</v>
      </c>
      <c r="D48" s="66"/>
      <c r="E48" s="209">
        <v>658852</v>
      </c>
      <c r="F48" s="210"/>
      <c r="G48" s="90">
        <f>ROUND(E48/($E$53-$E$51)*$C$51,0)</f>
        <v>471371</v>
      </c>
      <c r="H48" s="66"/>
      <c r="I48" s="90">
        <f t="shared" si="2"/>
        <v>9041450.620000001</v>
      </c>
      <c r="K48" s="231">
        <f t="shared" si="3"/>
        <v>8570079.620000001</v>
      </c>
      <c r="N48" s="66" t="s">
        <v>816</v>
      </c>
    </row>
    <row r="49" spans="2:16">
      <c r="B49" s="205" t="s">
        <v>24</v>
      </c>
      <c r="C49" s="90">
        <f>'Sch 4'!C416</f>
        <v>95534.67</v>
      </c>
      <c r="D49" s="66"/>
      <c r="E49" s="209"/>
      <c r="F49" s="210"/>
      <c r="G49" s="90"/>
      <c r="H49" s="66"/>
      <c r="I49" s="90">
        <f t="shared" si="2"/>
        <v>95534.67</v>
      </c>
      <c r="K49" s="231">
        <f t="shared" si="3"/>
        <v>95534.67</v>
      </c>
      <c r="N49" s="66" t="s">
        <v>816</v>
      </c>
    </row>
    <row r="50" spans="2:16">
      <c r="B50" s="205" t="s">
        <v>429</v>
      </c>
      <c r="C50" s="90">
        <f>'Sch 4'!C428+'Sch 4'!C429</f>
        <v>951809.29</v>
      </c>
      <c r="D50" s="66"/>
      <c r="E50" s="209">
        <v>0</v>
      </c>
      <c r="F50" s="210"/>
      <c r="G50" s="90"/>
      <c r="H50" s="66"/>
      <c r="I50" s="90">
        <f t="shared" si="2"/>
        <v>951809.29</v>
      </c>
      <c r="K50" s="231">
        <f>C50</f>
        <v>951809.29</v>
      </c>
      <c r="N50" s="66" t="s">
        <v>362</v>
      </c>
    </row>
    <row r="51" spans="2:16">
      <c r="B51" s="205" t="s">
        <v>430</v>
      </c>
      <c r="C51" s="221">
        <f>'Sch 4'!C419+'Sch 4'!C420+'Sch 4'!C421+'Sch 4'!C422+'Sch 4'!C423+'Sch 4'!C424+'Sch 4'!C425+'Sch 4'!C426+'Sch 4'!C427+'Sch 4'!C430+'Sch 4'!C431+'Sch 4'!C432+'Sch 4'!C435+'Sch 4'!C436</f>
        <v>20172059.690000001</v>
      </c>
      <c r="D51" s="66"/>
      <c r="E51" s="344">
        <v>1853966</v>
      </c>
      <c r="F51" s="210"/>
      <c r="G51" s="221">
        <f>C51*-1</f>
        <v>-20172059.690000001</v>
      </c>
      <c r="H51" s="66"/>
      <c r="I51" s="221">
        <f t="shared" si="2"/>
        <v>0</v>
      </c>
      <c r="K51" s="56"/>
      <c r="M51" s="56"/>
      <c r="N51" s="66" t="s">
        <v>884</v>
      </c>
    </row>
    <row r="52" spans="2:16">
      <c r="B52" s="205"/>
      <c r="C52" s="90"/>
      <c r="D52" s="66"/>
      <c r="E52" s="90"/>
      <c r="F52" s="66"/>
      <c r="G52" s="90"/>
      <c r="H52" s="66"/>
      <c r="I52" s="90"/>
    </row>
    <row r="53" spans="2:16">
      <c r="B53" s="225" t="s">
        <v>431</v>
      </c>
      <c r="C53" s="90">
        <f>C31+C34+C41+SUM(C44:C51)</f>
        <v>260714241.01199999</v>
      </c>
      <c r="D53" s="66"/>
      <c r="E53" s="90">
        <f>E31+E34+E41+SUM(E44:E51)</f>
        <v>30049178</v>
      </c>
      <c r="F53" s="66"/>
      <c r="G53" s="90">
        <f>G31+G34+G41+SUM(G44:G51)</f>
        <v>1.3099999986588955</v>
      </c>
      <c r="H53" s="66"/>
      <c r="I53" s="90">
        <f>I31+I34+I41+SUM(I44:I51)</f>
        <v>260714242.32200003</v>
      </c>
      <c r="K53" s="90">
        <f>K31+K34+K41+SUM(K44:K51)</f>
        <v>125390873.56079999</v>
      </c>
      <c r="M53" s="90">
        <f>M31+M34+M41+SUM(M44:M51)</f>
        <v>126781292.76120001</v>
      </c>
    </row>
    <row r="54" spans="2:16">
      <c r="C54" s="90"/>
      <c r="D54" s="66"/>
      <c r="E54" s="90"/>
      <c r="F54" s="66"/>
      <c r="G54" s="90"/>
      <c r="H54" s="66"/>
      <c r="I54" s="90"/>
    </row>
    <row r="55" spans="2:16" s="3" customFormat="1">
      <c r="B55" s="3" t="s">
        <v>883</v>
      </c>
      <c r="D55" s="13"/>
      <c r="F55" s="13"/>
      <c r="H55" s="13"/>
      <c r="K55" s="245">
        <f>K53/(K53+M53)</f>
        <v>0.49724311524804726</v>
      </c>
      <c r="L55" s="245"/>
      <c r="M55" s="245">
        <f>M53/(K53+M53)</f>
        <v>0.50275688475195279</v>
      </c>
      <c r="N55" s="245">
        <f>K55+M55</f>
        <v>1</v>
      </c>
      <c r="O55" s="13"/>
      <c r="P55" s="13"/>
    </row>
    <row r="56" spans="2:16">
      <c r="C56" s="424" t="s">
        <v>228</v>
      </c>
      <c r="D56" s="424"/>
      <c r="E56" s="424"/>
      <c r="F56" s="424"/>
      <c r="G56" s="424"/>
    </row>
    <row r="57" spans="2:16">
      <c r="C57" s="22" t="s">
        <v>432</v>
      </c>
      <c r="E57" s="90">
        <v>3</v>
      </c>
      <c r="G57" s="90">
        <f>ROUND(E57/($E$53-$E$51)*$C$51,0)</f>
        <v>2</v>
      </c>
    </row>
    <row r="58" spans="2:16" ht="15">
      <c r="C58" s="22" t="s">
        <v>433</v>
      </c>
      <c r="E58" s="345">
        <v>58142</v>
      </c>
      <c r="G58" s="230">
        <f>ROUND(E58/($E$53-$E$51)*$C$51,0)</f>
        <v>41597</v>
      </c>
    </row>
    <row r="59" spans="2:16">
      <c r="E59" s="90">
        <f>SUM(E57:E58)</f>
        <v>58145</v>
      </c>
      <c r="G59" s="229">
        <f>SUM(G57:G58)</f>
        <v>41599</v>
      </c>
    </row>
  </sheetData>
  <mergeCells count="6">
    <mergeCell ref="C56:G56"/>
    <mergeCell ref="M43:N43"/>
    <mergeCell ref="A1:I1"/>
    <mergeCell ref="A2:I2"/>
    <mergeCell ref="A3:I3"/>
    <mergeCell ref="M8:N8"/>
  </mergeCells>
  <pageMargins left="0.7" right="0.45" top="0.75" bottom="0.75" header="0.3" footer="0.3"/>
  <pageSetup scale="59" orientation="portrait" r:id="rId1"/>
  <headerFooter>
    <oddHeader xml:space="preserve">&amp;CKENTUCKY POWER COMPANY
JURISDICTIONAL COST OF SERVICE
12 MONTHS ENDED FEBRUARY 28, 2017&amp;RSECTION V
SCHEDULE 6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="130" zoomScaleNormal="130" workbookViewId="0">
      <selection sqref="A1:XFD1048576"/>
    </sheetView>
  </sheetViews>
  <sheetFormatPr defaultColWidth="9.140625" defaultRowHeight="12.75"/>
  <cols>
    <col min="1" max="1" width="28.28515625" style="89" bestFit="1" customWidth="1"/>
    <col min="2" max="2" width="15" style="89" bestFit="1" customWidth="1"/>
    <col min="3" max="3" width="1.7109375" style="89" customWidth="1"/>
    <col min="4" max="4" width="12.85546875" style="89" bestFit="1" customWidth="1"/>
    <col min="5" max="5" width="1.7109375" style="89" customWidth="1"/>
    <col min="6" max="6" width="13.42578125" style="89" bestFit="1" customWidth="1"/>
    <col min="7" max="16384" width="9.140625" style="89"/>
  </cols>
  <sheetData>
    <row r="1" spans="1:6" ht="25.5" customHeight="1">
      <c r="A1" s="427" t="s">
        <v>334</v>
      </c>
      <c r="B1" s="427"/>
      <c r="C1" s="427"/>
      <c r="D1" s="427"/>
      <c r="E1" s="427"/>
      <c r="F1" s="427"/>
    </row>
    <row r="2" spans="1:6">
      <c r="A2" s="427" t="s">
        <v>1014</v>
      </c>
      <c r="B2" s="427"/>
      <c r="C2" s="427"/>
      <c r="D2" s="427"/>
      <c r="E2" s="427"/>
      <c r="F2" s="427"/>
    </row>
    <row r="3" spans="1:6">
      <c r="A3" s="428" t="s">
        <v>1000</v>
      </c>
      <c r="B3" s="428"/>
      <c r="C3" s="428"/>
      <c r="D3" s="428"/>
      <c r="E3" s="428"/>
      <c r="F3" s="428"/>
    </row>
    <row r="6" spans="1:6">
      <c r="A6" s="346" t="s">
        <v>446</v>
      </c>
      <c r="B6" s="347" t="s">
        <v>154</v>
      </c>
      <c r="D6" s="346" t="s">
        <v>447</v>
      </c>
      <c r="F6" s="346" t="s">
        <v>448</v>
      </c>
    </row>
    <row r="8" spans="1:6">
      <c r="A8" s="205" t="s">
        <v>436</v>
      </c>
      <c r="B8" s="348">
        <v>98406830</v>
      </c>
      <c r="D8" s="348">
        <v>54222498</v>
      </c>
      <c r="F8" s="111">
        <f>B8+D8</f>
        <v>152629328</v>
      </c>
    </row>
    <row r="9" spans="1:6">
      <c r="A9" s="205"/>
      <c r="B9" s="209"/>
      <c r="D9" s="205"/>
    </row>
    <row r="10" spans="1:6">
      <c r="A10" s="205" t="s">
        <v>437</v>
      </c>
      <c r="B10" s="344">
        <v>0</v>
      </c>
      <c r="D10" s="344">
        <v>0</v>
      </c>
      <c r="F10" s="349">
        <v>0</v>
      </c>
    </row>
    <row r="11" spans="1:6">
      <c r="A11" s="205"/>
    </row>
    <row r="12" spans="1:6">
      <c r="A12" s="205" t="s">
        <v>438</v>
      </c>
      <c r="B12" s="111">
        <f>B8+B10</f>
        <v>98406830</v>
      </c>
      <c r="D12" s="111">
        <f>D8+D10</f>
        <v>54222498</v>
      </c>
      <c r="F12" s="111">
        <f>F8+F10</f>
        <v>152629328</v>
      </c>
    </row>
    <row r="13" spans="1:6">
      <c r="A13" s="205"/>
    </row>
    <row r="14" spans="1:6">
      <c r="A14" s="205" t="s">
        <v>439</v>
      </c>
    </row>
    <row r="15" spans="1:6">
      <c r="A15" s="205"/>
    </row>
    <row r="16" spans="1:6">
      <c r="A16" s="209" t="s">
        <v>440</v>
      </c>
      <c r="B16" s="350">
        <v>46620735</v>
      </c>
      <c r="C16" s="350"/>
      <c r="D16" s="350">
        <v>5136851</v>
      </c>
      <c r="F16" s="38">
        <f>B16+D16</f>
        <v>51757586</v>
      </c>
    </row>
    <row r="17" spans="1:6">
      <c r="A17" s="209"/>
      <c r="B17" s="350"/>
      <c r="C17" s="350"/>
      <c r="D17" s="350"/>
    </row>
    <row r="18" spans="1:6">
      <c r="A18" s="209" t="s">
        <v>797</v>
      </c>
      <c r="B18" s="350">
        <v>-2268561</v>
      </c>
      <c r="C18" s="350"/>
      <c r="D18" s="350">
        <v>-2768523</v>
      </c>
      <c r="F18" s="38">
        <f>B18+D18</f>
        <v>-5037084</v>
      </c>
    </row>
    <row r="19" spans="1:6">
      <c r="A19" s="209"/>
      <c r="B19" s="350"/>
      <c r="C19" s="350"/>
      <c r="D19" s="350"/>
    </row>
    <row r="20" spans="1:6" ht="25.5">
      <c r="A20" s="351" t="s">
        <v>441</v>
      </c>
      <c r="B20" s="350">
        <v>288413</v>
      </c>
      <c r="C20" s="350"/>
      <c r="D20" s="350">
        <v>0</v>
      </c>
      <c r="F20" s="38">
        <f>B20+D20</f>
        <v>288413</v>
      </c>
    </row>
    <row r="21" spans="1:6">
      <c r="A21" s="209"/>
      <c r="B21" s="350"/>
      <c r="C21" s="350"/>
      <c r="D21" s="350"/>
    </row>
    <row r="22" spans="1:6">
      <c r="A22" s="352" t="s">
        <v>442</v>
      </c>
      <c r="B22" s="350">
        <v>0</v>
      </c>
      <c r="C22" s="350"/>
      <c r="D22" s="350">
        <v>0</v>
      </c>
      <c r="F22" s="38">
        <f>B22+D22</f>
        <v>0</v>
      </c>
    </row>
    <row r="23" spans="1:6">
      <c r="A23" s="205"/>
      <c r="B23" s="350"/>
      <c r="C23" s="256"/>
      <c r="D23" s="256"/>
    </row>
    <row r="24" spans="1:6">
      <c r="A24" s="209" t="s">
        <v>369</v>
      </c>
      <c r="B24" s="353">
        <v>5313052</v>
      </c>
      <c r="C24" s="350"/>
      <c r="D24" s="353">
        <v>0</v>
      </c>
      <c r="F24" s="212">
        <f>B24+D24</f>
        <v>5313052</v>
      </c>
    </row>
    <row r="25" spans="1:6">
      <c r="A25" s="205"/>
    </row>
    <row r="26" spans="1:6">
      <c r="A26" s="205" t="s">
        <v>443</v>
      </c>
      <c r="B26" s="38">
        <f>B16+B18+B20+B22+B24</f>
        <v>49953639</v>
      </c>
      <c r="D26" s="38">
        <f>D16+D18+D20+D22+D24</f>
        <v>2368328</v>
      </c>
      <c r="F26" s="38">
        <f>F16+F18+F20+F22+F24</f>
        <v>52321967</v>
      </c>
    </row>
    <row r="27" spans="1:6">
      <c r="A27" s="205"/>
    </row>
    <row r="28" spans="1:6">
      <c r="A28" s="205" t="s">
        <v>444</v>
      </c>
      <c r="B28" s="56">
        <v>0</v>
      </c>
      <c r="D28" s="56">
        <v>0</v>
      </c>
      <c r="F28" s="56">
        <v>0</v>
      </c>
    </row>
    <row r="29" spans="1:6">
      <c r="A29" s="205"/>
    </row>
    <row r="30" spans="1:6">
      <c r="A30" s="205" t="s">
        <v>445</v>
      </c>
      <c r="B30" s="111">
        <f>B12-B26-B28</f>
        <v>48453191</v>
      </c>
      <c r="D30" s="111">
        <f>D12-D26-D28</f>
        <v>51854170</v>
      </c>
      <c r="F30" s="111">
        <f>F12-F26-F28</f>
        <v>100307361</v>
      </c>
    </row>
    <row r="31" spans="1:6">
      <c r="A31" s="205"/>
      <c r="B31" s="374" t="s">
        <v>344</v>
      </c>
      <c r="C31" s="374"/>
      <c r="D31" s="374" t="s">
        <v>341</v>
      </c>
    </row>
    <row r="32" spans="1:6">
      <c r="A32" s="354" t="s">
        <v>792</v>
      </c>
      <c r="B32" s="90">
        <f>ROUND(B30*'Allocation Factors'!$G$14,0)</f>
        <v>47774846</v>
      </c>
      <c r="C32" s="90"/>
      <c r="D32" s="90">
        <f>ROUND(D30*'Allocation Factors'!$G$10,0)</f>
        <v>51076357</v>
      </c>
      <c r="F32" s="229">
        <f>B32+D32</f>
        <v>98851203</v>
      </c>
    </row>
    <row r="33" spans="1:7">
      <c r="A33" s="205"/>
    </row>
    <row r="36" spans="1:7">
      <c r="A36" s="89" t="s">
        <v>535</v>
      </c>
      <c r="B36" s="90">
        <f>ROUND(B26*'Allocation Factors'!$G$14,0)</f>
        <v>49254288</v>
      </c>
      <c r="C36" s="90"/>
      <c r="D36" s="90">
        <f>ROUND(D26*'Allocation Factors'!$G$10,0)</f>
        <v>2332803</v>
      </c>
      <c r="G36" s="225"/>
    </row>
    <row r="37" spans="1:7">
      <c r="B37" s="374" t="s">
        <v>344</v>
      </c>
      <c r="C37" s="374"/>
      <c r="D37" s="374" t="s">
        <v>341</v>
      </c>
      <c r="G37" s="225"/>
    </row>
    <row r="38" spans="1:7">
      <c r="G38" s="95"/>
    </row>
    <row r="39" spans="1:7">
      <c r="G39" s="355"/>
    </row>
  </sheetData>
  <mergeCells count="3">
    <mergeCell ref="A1:F1"/>
    <mergeCell ref="A2:F2"/>
    <mergeCell ref="A3:F3"/>
  </mergeCells>
  <printOptions horizontalCentered="1"/>
  <pageMargins left="0.7" right="0.7" top="1" bottom="0.75" header="0.55000000000000004" footer="0.3"/>
  <pageSetup orientation="portrait" r:id="rId1"/>
  <headerFooter>
    <oddHeader xml:space="preserve">&amp;CKENTUCKY POWER COMPANY
JURISDICTIONAL COST OF SERVICE
12 MONTHS ENDED FEBRUARY 28, 2017&amp;RSECTION V
SCHEDULE 7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C59"/>
  <sheetViews>
    <sheetView zoomScale="70" zoomScaleNormal="70" workbookViewId="0">
      <selection activeCell="S3" sqref="S3"/>
    </sheetView>
  </sheetViews>
  <sheetFormatPr defaultColWidth="9.140625" defaultRowHeight="12.75"/>
  <cols>
    <col min="1" max="1" width="5" style="89" bestFit="1" customWidth="1"/>
    <col min="2" max="2" width="10.7109375" style="89" bestFit="1" customWidth="1"/>
    <col min="3" max="3" width="5.5703125" style="89" bestFit="1" customWidth="1"/>
    <col min="4" max="4" width="2.28515625" style="89" customWidth="1"/>
    <col min="5" max="5" width="11.5703125" style="89" bestFit="1" customWidth="1"/>
    <col min="6" max="6" width="2.28515625" style="89" customWidth="1"/>
    <col min="7" max="7" width="11.5703125" style="89" bestFit="1" customWidth="1"/>
    <col min="8" max="8" width="2.28515625" style="89" customWidth="1"/>
    <col min="9" max="9" width="10.5703125" style="89" bestFit="1" customWidth="1"/>
    <col min="10" max="10" width="2.28515625" style="89" customWidth="1"/>
    <col min="11" max="11" width="11.5703125" style="89" bestFit="1" customWidth="1"/>
    <col min="12" max="12" width="2.28515625" style="89" customWidth="1"/>
    <col min="13" max="13" width="10.5703125" style="89" bestFit="1" customWidth="1"/>
    <col min="14" max="14" width="2.28515625" style="89" customWidth="1"/>
    <col min="15" max="15" width="10.5703125" style="89" bestFit="1" customWidth="1"/>
    <col min="16" max="16" width="2.28515625" style="89" customWidth="1"/>
    <col min="17" max="17" width="9" style="89" bestFit="1" customWidth="1"/>
    <col min="18" max="18" width="2.28515625" style="89" customWidth="1"/>
    <col min="19" max="19" width="9" style="89" bestFit="1" customWidth="1"/>
    <col min="20" max="20" width="2.28515625" style="89" customWidth="1"/>
    <col min="21" max="21" width="11.5703125" style="89" bestFit="1" customWidth="1"/>
    <col min="22" max="22" width="2.28515625" style="89" customWidth="1"/>
    <col min="23" max="23" width="11.5703125" style="89" bestFit="1" customWidth="1"/>
    <col min="24" max="24" width="2.28515625" style="89" customWidth="1"/>
    <col min="25" max="25" width="12.140625" style="89" bestFit="1" customWidth="1"/>
    <col min="26" max="26" width="2.28515625" style="89" customWidth="1"/>
    <col min="27" max="27" width="11.28515625" style="89" customWidth="1"/>
    <col min="28" max="28" width="2.28515625" style="89" customWidth="1"/>
    <col min="29" max="29" width="11.28515625" style="89" customWidth="1"/>
    <col min="30" max="16384" width="9.140625" style="89"/>
  </cols>
  <sheetData>
    <row r="5" spans="1:29">
      <c r="N5" s="267"/>
      <c r="AC5" s="102"/>
    </row>
    <row r="6" spans="1:29">
      <c r="A6" s="429"/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</row>
    <row r="7" spans="1:29">
      <c r="A7" s="426" t="s">
        <v>451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</row>
    <row r="8" spans="1:29">
      <c r="A8" s="426" t="s">
        <v>452</v>
      </c>
      <c r="B8" s="426"/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6"/>
      <c r="Q8" s="426"/>
      <c r="R8" s="426"/>
      <c r="S8" s="426"/>
      <c r="T8" s="426"/>
      <c r="U8" s="426"/>
      <c r="V8" s="426"/>
      <c r="W8" s="426"/>
      <c r="X8" s="426"/>
      <c r="Y8" s="426"/>
      <c r="Z8" s="426"/>
      <c r="AA8" s="426"/>
      <c r="AB8" s="426"/>
      <c r="AC8" s="426"/>
    </row>
    <row r="9" spans="1:29">
      <c r="A9" s="429"/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6"/>
      <c r="Z9" s="416"/>
      <c r="AA9" s="416"/>
      <c r="AB9" s="416"/>
      <c r="AC9" s="416"/>
    </row>
    <row r="10" spans="1:29">
      <c r="N10" s="233"/>
    </row>
    <row r="12" spans="1:29">
      <c r="F12" s="233" t="s">
        <v>316</v>
      </c>
      <c r="J12" s="233" t="s">
        <v>21</v>
      </c>
      <c r="N12" s="233" t="s">
        <v>22</v>
      </c>
      <c r="R12" s="233" t="s">
        <v>121</v>
      </c>
      <c r="V12" s="233" t="s">
        <v>448</v>
      </c>
    </row>
    <row r="13" spans="1:29" ht="51">
      <c r="A13" s="105" t="s">
        <v>453</v>
      </c>
      <c r="B13" s="233" t="s">
        <v>454</v>
      </c>
      <c r="E13" s="105" t="s">
        <v>455</v>
      </c>
      <c r="F13" s="106"/>
      <c r="G13" s="105" t="s">
        <v>456</v>
      </c>
      <c r="H13" s="106"/>
      <c r="I13" s="105" t="s">
        <v>455</v>
      </c>
      <c r="J13" s="106"/>
      <c r="K13" s="105" t="s">
        <v>456</v>
      </c>
      <c r="L13" s="106"/>
      <c r="M13" s="105" t="s">
        <v>455</v>
      </c>
      <c r="N13" s="106"/>
      <c r="O13" s="105" t="s">
        <v>456</v>
      </c>
      <c r="P13" s="106"/>
      <c r="Q13" s="105" t="s">
        <v>455</v>
      </c>
      <c r="R13" s="106"/>
      <c r="S13" s="105" t="s">
        <v>456</v>
      </c>
      <c r="U13" s="105" t="s">
        <v>455</v>
      </c>
      <c r="V13" s="106"/>
      <c r="W13" s="105" t="s">
        <v>456</v>
      </c>
      <c r="Y13" s="105" t="s">
        <v>457</v>
      </c>
      <c r="AA13" s="105" t="s">
        <v>879</v>
      </c>
      <c r="AC13" s="105" t="s">
        <v>880</v>
      </c>
    </row>
    <row r="14" spans="1:29">
      <c r="A14" s="109">
        <v>-1</v>
      </c>
      <c r="B14" s="109">
        <v>-2</v>
      </c>
      <c r="E14" s="109">
        <v>-3</v>
      </c>
      <c r="G14" s="109">
        <v>-4</v>
      </c>
      <c r="I14" s="109">
        <v>-5</v>
      </c>
      <c r="K14" s="109">
        <v>-6</v>
      </c>
      <c r="M14" s="109">
        <v>-7</v>
      </c>
      <c r="O14" s="109">
        <v>-8</v>
      </c>
      <c r="Q14" s="109">
        <v>-9</v>
      </c>
      <c r="S14" s="109">
        <v>-10</v>
      </c>
      <c r="U14" s="109">
        <v>-11</v>
      </c>
      <c r="W14" s="109">
        <v>-12</v>
      </c>
      <c r="Y14" s="109">
        <v>-13</v>
      </c>
      <c r="AA14" s="109">
        <v>-14</v>
      </c>
      <c r="AC14" s="109">
        <v>-15</v>
      </c>
    </row>
    <row r="15" spans="1:29">
      <c r="A15" s="109"/>
      <c r="B15" s="109"/>
      <c r="E15" s="109"/>
      <c r="G15" s="109"/>
      <c r="I15" s="109"/>
      <c r="K15" s="109"/>
      <c r="M15" s="109"/>
      <c r="O15" s="109"/>
      <c r="Q15" s="109"/>
      <c r="S15" s="109"/>
      <c r="U15" s="109"/>
      <c r="W15" s="109"/>
      <c r="Y15" s="109"/>
      <c r="AA15" s="109"/>
    </row>
    <row r="16" spans="1:29">
      <c r="A16" s="109"/>
      <c r="B16" s="109"/>
      <c r="E16" s="109"/>
      <c r="G16" s="109"/>
      <c r="I16" s="109"/>
      <c r="K16" s="109"/>
      <c r="M16" s="109"/>
      <c r="O16" s="109"/>
      <c r="Q16" s="109"/>
      <c r="S16" s="109"/>
      <c r="U16" s="109"/>
      <c r="W16" s="109"/>
      <c r="Y16" s="109"/>
      <c r="AA16" s="109"/>
    </row>
    <row r="17" spans="1:29">
      <c r="A17" s="109">
        <v>1</v>
      </c>
      <c r="B17" s="356" t="s">
        <v>470</v>
      </c>
      <c r="C17" s="247" t="s">
        <v>895</v>
      </c>
      <c r="E17" s="111">
        <v>83464.28</v>
      </c>
      <c r="F17" s="111"/>
      <c r="G17" s="111">
        <v>119396.69</v>
      </c>
      <c r="H17" s="111"/>
      <c r="I17" s="111">
        <v>9435.08</v>
      </c>
      <c r="J17" s="111"/>
      <c r="K17" s="111">
        <v>13529.94</v>
      </c>
      <c r="L17" s="111"/>
      <c r="M17" s="111">
        <v>15854.96</v>
      </c>
      <c r="N17" s="111"/>
      <c r="O17" s="111">
        <v>22680.69</v>
      </c>
      <c r="P17" s="111"/>
      <c r="Q17" s="111">
        <v>1077.8499999999999</v>
      </c>
      <c r="R17" s="111"/>
      <c r="S17" s="111">
        <v>1542.53</v>
      </c>
      <c r="T17" s="111"/>
      <c r="U17" s="111">
        <f>E17+I17+M17+Q17</f>
        <v>109832.17000000001</v>
      </c>
      <c r="V17" s="111"/>
      <c r="W17" s="111">
        <f>G17+K17+O17+S17</f>
        <v>157149.85</v>
      </c>
      <c r="X17" s="111"/>
      <c r="Y17" s="111">
        <f>U17+W17</f>
        <v>266982.02</v>
      </c>
      <c r="AA17" s="276">
        <v>1.91708E-3</v>
      </c>
      <c r="AC17" s="276">
        <v>2.7435799999999998E-3</v>
      </c>
    </row>
    <row r="18" spans="1:29">
      <c r="A18" s="109"/>
      <c r="B18" s="356" t="s">
        <v>459</v>
      </c>
      <c r="C18" s="247" t="s">
        <v>459</v>
      </c>
      <c r="E18" s="109"/>
      <c r="G18" s="109"/>
      <c r="I18" s="109"/>
      <c r="K18" s="109"/>
      <c r="M18" s="109"/>
      <c r="O18" s="109"/>
      <c r="Q18" s="109"/>
      <c r="S18" s="109"/>
      <c r="U18" s="109"/>
      <c r="V18" s="111"/>
      <c r="W18" s="111"/>
      <c r="X18" s="111"/>
      <c r="Y18" s="111"/>
      <c r="AA18" s="109"/>
    </row>
    <row r="19" spans="1:29">
      <c r="A19" s="109">
        <v>2</v>
      </c>
      <c r="B19" s="356" t="s">
        <v>458</v>
      </c>
      <c r="C19" s="247" t="s">
        <v>895</v>
      </c>
      <c r="E19" s="111">
        <v>52565.84</v>
      </c>
      <c r="F19" s="111"/>
      <c r="G19" s="111">
        <v>68167</v>
      </c>
      <c r="H19" s="111"/>
      <c r="I19" s="111">
        <v>10811</v>
      </c>
      <c r="J19" s="111"/>
      <c r="K19" s="111">
        <v>14644</v>
      </c>
      <c r="L19" s="111"/>
      <c r="M19" s="111">
        <v>14734.75</v>
      </c>
      <c r="N19" s="111"/>
      <c r="O19" s="111">
        <v>19924.37</v>
      </c>
      <c r="P19" s="111"/>
      <c r="Q19" s="111">
        <v>548.66</v>
      </c>
      <c r="R19" s="111"/>
      <c r="S19" s="111">
        <v>741.52</v>
      </c>
      <c r="T19" s="111"/>
      <c r="U19" s="111">
        <f>E19+I19+M19+Q19</f>
        <v>78660.25</v>
      </c>
      <c r="V19" s="111"/>
      <c r="W19" s="111">
        <f>G19+K19+O19+S19</f>
        <v>103476.89</v>
      </c>
      <c r="X19" s="111"/>
      <c r="Y19" s="111">
        <f>U19+W19</f>
        <v>182137.14</v>
      </c>
      <c r="AA19" s="276">
        <v>1.7502500000000001E-3</v>
      </c>
      <c r="AC19" s="276">
        <v>2.3708000000000002E-3</v>
      </c>
    </row>
    <row r="20" spans="1:29">
      <c r="A20" s="109"/>
      <c r="B20" s="356" t="s">
        <v>459</v>
      </c>
      <c r="C20" s="247" t="s">
        <v>459</v>
      </c>
      <c r="E20" s="109"/>
      <c r="G20" s="109"/>
      <c r="I20" s="109"/>
      <c r="K20" s="109"/>
      <c r="M20" s="109"/>
      <c r="O20" s="109"/>
      <c r="Q20" s="109"/>
      <c r="S20" s="109"/>
      <c r="U20" s="109"/>
      <c r="V20" s="111"/>
      <c r="W20" s="111"/>
      <c r="X20" s="111"/>
      <c r="Y20" s="111"/>
      <c r="AA20" s="109"/>
    </row>
    <row r="21" spans="1:29">
      <c r="A21" s="109">
        <v>3</v>
      </c>
      <c r="B21" s="356" t="s">
        <v>460</v>
      </c>
      <c r="C21" s="247" t="s">
        <v>895</v>
      </c>
      <c r="E21" s="111">
        <v>59075.39</v>
      </c>
      <c r="F21" s="111"/>
      <c r="G21" s="111">
        <v>91262.97</v>
      </c>
      <c r="H21" s="111"/>
      <c r="I21" s="111">
        <v>14788.83</v>
      </c>
      <c r="J21" s="111"/>
      <c r="K21" s="111">
        <v>22723.85</v>
      </c>
      <c r="L21" s="111"/>
      <c r="M21" s="111">
        <v>18036.72</v>
      </c>
      <c r="N21" s="111"/>
      <c r="O21" s="111">
        <v>27855.47</v>
      </c>
      <c r="P21" s="111"/>
      <c r="Q21" s="111">
        <v>577.69000000000005</v>
      </c>
      <c r="R21" s="111"/>
      <c r="S21" s="111">
        <v>887.69</v>
      </c>
      <c r="T21" s="111"/>
      <c r="U21" s="111">
        <f>E21+I21+M21+Q21</f>
        <v>92478.63</v>
      </c>
      <c r="V21" s="111"/>
      <c r="W21" s="111">
        <f>G21+K21+O21+S21</f>
        <v>142729.98000000001</v>
      </c>
      <c r="X21" s="111"/>
      <c r="Y21" s="111">
        <f>U21+W21</f>
        <v>235208.61000000002</v>
      </c>
      <c r="AA21" s="276">
        <v>2.2928800000000002E-3</v>
      </c>
      <c r="AC21" s="276">
        <v>3.5231400000000001E-3</v>
      </c>
    </row>
    <row r="22" spans="1:29">
      <c r="A22" s="109"/>
      <c r="B22" s="356" t="s">
        <v>459</v>
      </c>
      <c r="C22" s="247" t="s">
        <v>459</v>
      </c>
      <c r="E22" s="109"/>
      <c r="G22" s="109"/>
      <c r="I22" s="109"/>
      <c r="K22" s="109"/>
      <c r="M22" s="109"/>
      <c r="O22" s="109"/>
      <c r="Q22" s="109"/>
      <c r="S22" s="109"/>
      <c r="U22" s="109"/>
      <c r="V22" s="111"/>
      <c r="W22" s="111"/>
      <c r="X22" s="111"/>
      <c r="Y22" s="111"/>
      <c r="AA22" s="109"/>
    </row>
    <row r="23" spans="1:29">
      <c r="A23" s="109">
        <v>4</v>
      </c>
      <c r="B23" s="356" t="s">
        <v>461</v>
      </c>
      <c r="C23" s="247" t="s">
        <v>895</v>
      </c>
      <c r="E23" s="111">
        <v>-1304.5</v>
      </c>
      <c r="F23" s="111"/>
      <c r="G23" s="111">
        <v>-2098.91</v>
      </c>
      <c r="H23" s="111"/>
      <c r="I23" s="111">
        <v>11389.32</v>
      </c>
      <c r="J23" s="111"/>
      <c r="K23" s="111">
        <v>15781.2</v>
      </c>
      <c r="L23" s="111"/>
      <c r="M23" s="111">
        <v>12916.48</v>
      </c>
      <c r="N23" s="111"/>
      <c r="O23" s="111">
        <v>17821.2</v>
      </c>
      <c r="P23" s="111"/>
      <c r="Q23" s="111">
        <v>533.45000000000005</v>
      </c>
      <c r="R23" s="111"/>
      <c r="S23" s="111">
        <v>742.38</v>
      </c>
      <c r="T23" s="111"/>
      <c r="U23" s="111">
        <f>E23+I23+M23+Q23</f>
        <v>23534.75</v>
      </c>
      <c r="V23" s="111"/>
      <c r="W23" s="111">
        <f>G23+K23+O23+S23</f>
        <v>32245.870000000003</v>
      </c>
      <c r="X23" s="111"/>
      <c r="Y23" s="111">
        <f>U23+W23</f>
        <v>55780.62</v>
      </c>
      <c r="AA23" s="276">
        <v>1.89157E-3</v>
      </c>
      <c r="AC23" s="276">
        <v>2.63248E-3</v>
      </c>
    </row>
    <row r="24" spans="1:29">
      <c r="A24" s="109"/>
      <c r="B24" s="356" t="s">
        <v>459</v>
      </c>
      <c r="C24" s="247" t="s">
        <v>459</v>
      </c>
      <c r="E24" s="109"/>
      <c r="G24" s="109"/>
      <c r="I24" s="109"/>
      <c r="K24" s="109"/>
      <c r="M24" s="109"/>
      <c r="O24" s="109"/>
      <c r="Q24" s="109"/>
      <c r="S24" s="109"/>
      <c r="U24" s="109"/>
      <c r="V24" s="111"/>
      <c r="W24" s="111"/>
      <c r="X24" s="111"/>
      <c r="Y24" s="111"/>
      <c r="AA24" s="109"/>
    </row>
    <row r="25" spans="1:29">
      <c r="A25" s="109">
        <v>5</v>
      </c>
      <c r="B25" s="356" t="s">
        <v>462</v>
      </c>
      <c r="C25" s="247" t="s">
        <v>895</v>
      </c>
      <c r="E25" s="111">
        <v>1169.1400000000001</v>
      </c>
      <c r="F25" s="111"/>
      <c r="G25" s="111">
        <v>498.17</v>
      </c>
      <c r="H25" s="111"/>
      <c r="I25" s="111">
        <v>2569.75</v>
      </c>
      <c r="J25" s="111"/>
      <c r="K25" s="111">
        <v>-19.5</v>
      </c>
      <c r="L25" s="111"/>
      <c r="M25" s="111">
        <v>5283.46</v>
      </c>
      <c r="N25" s="111"/>
      <c r="O25" s="111">
        <v>2448.38</v>
      </c>
      <c r="P25" s="111"/>
      <c r="Q25" s="111">
        <v>246.97</v>
      </c>
      <c r="R25" s="111"/>
      <c r="S25" s="111">
        <v>123.68</v>
      </c>
      <c r="T25" s="111"/>
      <c r="U25" s="111">
        <f>E25+I25+M25+Q25</f>
        <v>9269.32</v>
      </c>
      <c r="V25" s="111"/>
      <c r="W25" s="111">
        <f>G25+K25+O25+S25</f>
        <v>3050.73</v>
      </c>
      <c r="X25" s="111"/>
      <c r="Y25" s="111">
        <f>U25+W25</f>
        <v>12320.05</v>
      </c>
      <c r="AA25" s="276">
        <v>8.6017999999999999E-4</v>
      </c>
      <c r="AC25" s="276">
        <v>4.3080000000000001E-4</v>
      </c>
    </row>
    <row r="26" spans="1:29">
      <c r="A26" s="109"/>
      <c r="B26" s="356" t="s">
        <v>459</v>
      </c>
      <c r="C26" s="247" t="s">
        <v>459</v>
      </c>
      <c r="E26" s="109"/>
      <c r="G26" s="109"/>
      <c r="I26" s="109"/>
      <c r="K26" s="109"/>
      <c r="M26" s="109"/>
      <c r="O26" s="109"/>
      <c r="Q26" s="109"/>
      <c r="S26" s="109"/>
      <c r="U26" s="109"/>
      <c r="V26" s="111"/>
      <c r="W26" s="111"/>
      <c r="X26" s="111"/>
      <c r="Y26" s="111"/>
      <c r="AA26" s="109"/>
    </row>
    <row r="27" spans="1:29">
      <c r="A27" s="109">
        <v>6</v>
      </c>
      <c r="B27" s="356" t="s">
        <v>463</v>
      </c>
      <c r="C27" s="247" t="s">
        <v>895</v>
      </c>
      <c r="E27" s="111">
        <v>2920.46</v>
      </c>
      <c r="F27" s="111"/>
      <c r="G27" s="111">
        <v>3602.13</v>
      </c>
      <c r="H27" s="111"/>
      <c r="I27" s="111">
        <v>-8002.02</v>
      </c>
      <c r="J27" s="111"/>
      <c r="K27" s="111">
        <v>-13386.14</v>
      </c>
      <c r="L27" s="111"/>
      <c r="M27" s="111">
        <v>9148.42</v>
      </c>
      <c r="N27" s="111"/>
      <c r="O27" s="111">
        <v>11401.47</v>
      </c>
      <c r="P27" s="111"/>
      <c r="Q27" s="111">
        <v>724.54</v>
      </c>
      <c r="R27" s="111"/>
      <c r="S27" s="111">
        <v>891.75</v>
      </c>
      <c r="T27" s="111"/>
      <c r="U27" s="111">
        <f>E27+I27+M27+Q27</f>
        <v>4791.3999999999996</v>
      </c>
      <c r="V27" s="111"/>
      <c r="W27" s="111">
        <f>G27+K27+O27+S27</f>
        <v>2509.2100000000009</v>
      </c>
      <c r="X27" s="111"/>
      <c r="Y27" s="111">
        <f>U27+W27</f>
        <v>7300.6100000000006</v>
      </c>
      <c r="AA27" s="276">
        <v>1.6082799999999999E-3</v>
      </c>
      <c r="AC27" s="276">
        <v>1.9794000000000001E-3</v>
      </c>
    </row>
    <row r="28" spans="1:29">
      <c r="A28" s="109"/>
      <c r="B28" s="356" t="s">
        <v>459</v>
      </c>
      <c r="C28" s="247" t="s">
        <v>459</v>
      </c>
      <c r="E28" s="109"/>
      <c r="G28" s="109"/>
      <c r="I28" s="109"/>
      <c r="K28" s="109"/>
      <c r="M28" s="109"/>
      <c r="O28" s="109"/>
      <c r="Q28" s="109"/>
      <c r="S28" s="109"/>
      <c r="U28" s="109"/>
      <c r="V28" s="111"/>
      <c r="W28" s="111"/>
      <c r="X28" s="111"/>
      <c r="Y28" s="111"/>
      <c r="AA28" s="109"/>
    </row>
    <row r="29" spans="1:29">
      <c r="A29" s="109">
        <v>7</v>
      </c>
      <c r="B29" s="356" t="s">
        <v>464</v>
      </c>
      <c r="C29" s="247" t="s">
        <v>895</v>
      </c>
      <c r="E29" s="111">
        <v>2764.86</v>
      </c>
      <c r="F29" s="111"/>
      <c r="G29" s="111">
        <v>4748.1899999999996</v>
      </c>
      <c r="H29" s="111"/>
      <c r="I29" s="111">
        <v>13260.35</v>
      </c>
      <c r="J29" s="111"/>
      <c r="K29" s="111">
        <v>20424.580000000002</v>
      </c>
      <c r="L29" s="111"/>
      <c r="M29" s="111">
        <v>13889</v>
      </c>
      <c r="N29" s="111"/>
      <c r="O29" s="111">
        <v>21464.71</v>
      </c>
      <c r="P29" s="111"/>
      <c r="Q29" s="111">
        <v>1343.54</v>
      </c>
      <c r="R29" s="111"/>
      <c r="S29" s="111">
        <v>2080.06</v>
      </c>
      <c r="T29" s="111"/>
      <c r="U29" s="111">
        <f>E29+I29+M29+Q29</f>
        <v>31257.75</v>
      </c>
      <c r="V29" s="111"/>
      <c r="W29" s="111">
        <f>G29+K29+O29+S29</f>
        <v>48717.539999999994</v>
      </c>
      <c r="X29" s="111"/>
      <c r="Y29" s="111">
        <f>U29+W29</f>
        <v>79975.289999999994</v>
      </c>
      <c r="AA29" s="276">
        <v>2.3997100000000002E-3</v>
      </c>
      <c r="AC29" s="276">
        <v>3.6962100000000001E-3</v>
      </c>
    </row>
    <row r="30" spans="1:29">
      <c r="A30" s="109"/>
      <c r="B30" s="356" t="s">
        <v>459</v>
      </c>
      <c r="C30" s="247" t="s">
        <v>459</v>
      </c>
      <c r="E30" s="109"/>
      <c r="G30" s="109"/>
      <c r="I30" s="109"/>
      <c r="K30" s="109"/>
      <c r="M30" s="109"/>
      <c r="O30" s="109"/>
      <c r="Q30" s="109"/>
      <c r="S30" s="109"/>
      <c r="U30" s="109"/>
      <c r="V30" s="111"/>
      <c r="W30" s="111"/>
      <c r="X30" s="111"/>
      <c r="Y30" s="111"/>
      <c r="AA30" s="109"/>
    </row>
    <row r="31" spans="1:29">
      <c r="A31" s="109">
        <v>8</v>
      </c>
      <c r="B31" s="356" t="s">
        <v>465</v>
      </c>
      <c r="C31" s="247" t="s">
        <v>895</v>
      </c>
      <c r="E31" s="111">
        <v>2693.65</v>
      </c>
      <c r="F31" s="111"/>
      <c r="G31" s="111">
        <v>3839.79</v>
      </c>
      <c r="H31" s="111"/>
      <c r="I31" s="111">
        <v>12290.53</v>
      </c>
      <c r="J31" s="111"/>
      <c r="K31" s="111">
        <v>17404.7</v>
      </c>
      <c r="L31" s="111"/>
      <c r="M31" s="111">
        <v>10758.2</v>
      </c>
      <c r="N31" s="111"/>
      <c r="O31" s="111">
        <v>15188.13</v>
      </c>
      <c r="P31" s="111"/>
      <c r="Q31" s="111">
        <v>1547.88</v>
      </c>
      <c r="R31" s="111"/>
      <c r="S31" s="111">
        <v>2188.88</v>
      </c>
      <c r="T31" s="111"/>
      <c r="U31" s="111">
        <f>E31+I31+M31+Q31</f>
        <v>27290.260000000002</v>
      </c>
      <c r="V31" s="111"/>
      <c r="W31" s="111">
        <f>G31+K31+O31+S31</f>
        <v>38621.5</v>
      </c>
      <c r="X31" s="111"/>
      <c r="Y31" s="111">
        <f>U31+W31</f>
        <v>65911.760000000009</v>
      </c>
      <c r="AA31" s="276">
        <v>2.0414999999999999E-3</v>
      </c>
      <c r="AC31" s="276">
        <v>2.89099E-3</v>
      </c>
    </row>
    <row r="32" spans="1:29">
      <c r="A32" s="109"/>
      <c r="B32" s="356" t="s">
        <v>459</v>
      </c>
      <c r="C32" s="247" t="s">
        <v>459</v>
      </c>
      <c r="E32" s="109"/>
      <c r="G32" s="109"/>
      <c r="I32" s="109"/>
      <c r="K32" s="109"/>
      <c r="M32" s="109"/>
      <c r="O32" s="109"/>
      <c r="Q32" s="109"/>
      <c r="S32" s="109"/>
      <c r="U32" s="109"/>
      <c r="V32" s="111"/>
      <c r="W32" s="111"/>
      <c r="X32" s="111"/>
      <c r="Y32" s="111"/>
      <c r="AA32" s="109"/>
    </row>
    <row r="33" spans="1:29">
      <c r="A33" s="109">
        <v>9</v>
      </c>
      <c r="B33" s="356" t="s">
        <v>466</v>
      </c>
      <c r="C33" s="247" t="s">
        <v>895</v>
      </c>
      <c r="E33" s="111">
        <v>5017.43</v>
      </c>
      <c r="F33" s="111"/>
      <c r="G33" s="111">
        <v>6863.98</v>
      </c>
      <c r="H33" s="111"/>
      <c r="I33" s="111">
        <v>13073.09</v>
      </c>
      <c r="J33" s="111"/>
      <c r="K33" s="111">
        <v>17942.87</v>
      </c>
      <c r="L33" s="111"/>
      <c r="M33" s="111">
        <v>9234.09</v>
      </c>
      <c r="N33" s="111"/>
      <c r="O33" s="111">
        <v>12594.23</v>
      </c>
      <c r="P33" s="111"/>
      <c r="Q33" s="111">
        <v>1747.25</v>
      </c>
      <c r="R33" s="111"/>
      <c r="S33" s="111">
        <v>2398.79</v>
      </c>
      <c r="T33" s="111"/>
      <c r="U33" s="111">
        <f>E33+I33+M33+Q33</f>
        <v>29071.86</v>
      </c>
      <c r="V33" s="111"/>
      <c r="W33" s="111">
        <f>G33+K33+O33+S33</f>
        <v>39799.870000000003</v>
      </c>
      <c r="X33" s="111"/>
      <c r="Y33" s="111">
        <f>U33+W33</f>
        <v>68871.73000000001</v>
      </c>
      <c r="AA33" s="276">
        <v>1.94644E-3</v>
      </c>
      <c r="AC33" s="276">
        <v>2.6722199999999999E-3</v>
      </c>
    </row>
    <row r="34" spans="1:29">
      <c r="A34" s="109"/>
      <c r="B34" s="356" t="s">
        <v>459</v>
      </c>
      <c r="C34" s="247" t="s">
        <v>459</v>
      </c>
      <c r="E34" s="109"/>
      <c r="G34" s="109"/>
      <c r="I34" s="109"/>
      <c r="K34" s="109"/>
      <c r="M34" s="109"/>
      <c r="O34" s="109"/>
      <c r="Q34" s="109"/>
      <c r="S34" s="109"/>
      <c r="U34" s="109"/>
      <c r="V34" s="111"/>
      <c r="W34" s="111"/>
      <c r="X34" s="111"/>
      <c r="Y34" s="111"/>
      <c r="AA34" s="109"/>
    </row>
    <row r="35" spans="1:29">
      <c r="A35" s="109">
        <v>10</v>
      </c>
      <c r="B35" s="356" t="s">
        <v>467</v>
      </c>
      <c r="C35" s="247" t="s">
        <v>895</v>
      </c>
      <c r="E35" s="111">
        <v>5523.9</v>
      </c>
      <c r="F35" s="111"/>
      <c r="G35" s="111">
        <v>5880.46</v>
      </c>
      <c r="H35" s="111"/>
      <c r="I35" s="111">
        <v>9281.24</v>
      </c>
      <c r="J35" s="111"/>
      <c r="K35" s="111">
        <v>10295.6</v>
      </c>
      <c r="L35" s="111"/>
      <c r="M35" s="111">
        <v>8108.49</v>
      </c>
      <c r="N35" s="111"/>
      <c r="O35" s="111">
        <v>9070.66</v>
      </c>
      <c r="P35" s="111"/>
      <c r="Q35" s="111">
        <v>1737.7</v>
      </c>
      <c r="R35" s="111"/>
      <c r="S35" s="111">
        <v>1958.63</v>
      </c>
      <c r="T35" s="111"/>
      <c r="U35" s="111">
        <f>E35+I35+M35+Q35</f>
        <v>24651.329999999998</v>
      </c>
      <c r="V35" s="111"/>
      <c r="W35" s="111">
        <f>G35+K35+O35+S35</f>
        <v>27205.350000000002</v>
      </c>
      <c r="X35" s="111"/>
      <c r="Y35" s="111">
        <f>U35+W35</f>
        <v>51856.68</v>
      </c>
      <c r="AA35" s="276">
        <v>1.49902E-3</v>
      </c>
      <c r="AC35" s="276">
        <v>1.68957E-3</v>
      </c>
    </row>
    <row r="36" spans="1:29">
      <c r="A36" s="109"/>
      <c r="B36" s="356" t="s">
        <v>459</v>
      </c>
      <c r="C36" s="247" t="s">
        <v>459</v>
      </c>
      <c r="E36" s="109"/>
      <c r="G36" s="109"/>
      <c r="I36" s="109"/>
      <c r="K36" s="109"/>
      <c r="M36" s="109"/>
      <c r="O36" s="109"/>
      <c r="Q36" s="109"/>
      <c r="S36" s="109"/>
      <c r="U36" s="109"/>
      <c r="V36" s="111"/>
      <c r="W36" s="111"/>
      <c r="X36" s="111"/>
      <c r="Y36" s="111"/>
      <c r="AA36" s="109"/>
    </row>
    <row r="37" spans="1:29">
      <c r="A37" s="109">
        <v>11</v>
      </c>
      <c r="B37" s="356" t="s">
        <v>468</v>
      </c>
      <c r="C37" s="247" t="s">
        <v>969</v>
      </c>
      <c r="E37" s="111">
        <v>5135.33</v>
      </c>
      <c r="F37" s="111"/>
      <c r="G37" s="111">
        <v>7284.77</v>
      </c>
      <c r="H37" s="111"/>
      <c r="I37" s="111">
        <v>11051.41</v>
      </c>
      <c r="J37" s="111"/>
      <c r="K37" s="111">
        <v>14669.53</v>
      </c>
      <c r="L37" s="111"/>
      <c r="M37" s="111">
        <v>14045.37</v>
      </c>
      <c r="N37" s="111"/>
      <c r="O37" s="111">
        <v>18895.099999999999</v>
      </c>
      <c r="P37" s="111"/>
      <c r="Q37" s="111">
        <v>2759.83</v>
      </c>
      <c r="R37" s="111"/>
      <c r="S37" s="111">
        <v>3716.28</v>
      </c>
      <c r="T37" s="111"/>
      <c r="U37" s="111">
        <f>E37+I37+M37+Q37</f>
        <v>32991.94</v>
      </c>
      <c r="V37" s="111"/>
      <c r="W37" s="111">
        <f>G37+K37+O37+S37</f>
        <v>44565.68</v>
      </c>
      <c r="X37" s="111"/>
      <c r="Y37" s="111">
        <f>U37+W37</f>
        <v>77557.62</v>
      </c>
      <c r="AA37" s="276">
        <v>1.9510199999999999E-3</v>
      </c>
      <c r="AC37" s="276">
        <v>2.6241200000000002E-3</v>
      </c>
    </row>
    <row r="38" spans="1:29">
      <c r="A38" s="109"/>
      <c r="B38" s="356" t="s">
        <v>459</v>
      </c>
      <c r="C38" s="247" t="s">
        <v>459</v>
      </c>
      <c r="E38" s="109"/>
      <c r="G38" s="109"/>
      <c r="I38" s="109"/>
      <c r="K38" s="109"/>
      <c r="M38" s="109"/>
      <c r="O38" s="109"/>
      <c r="Q38" s="109"/>
      <c r="S38" s="109"/>
      <c r="U38" s="109"/>
      <c r="V38" s="111"/>
      <c r="W38" s="111"/>
      <c r="X38" s="111"/>
      <c r="Y38" s="111"/>
      <c r="AA38" s="109"/>
    </row>
    <row r="39" spans="1:29">
      <c r="A39" s="109">
        <v>12</v>
      </c>
      <c r="B39" s="356" t="s">
        <v>469</v>
      </c>
      <c r="C39" s="247" t="s">
        <v>969</v>
      </c>
      <c r="E39" s="111">
        <v>11873.27</v>
      </c>
      <c r="F39" s="111"/>
      <c r="G39" s="111">
        <v>18281.169999999998</v>
      </c>
      <c r="H39" s="111"/>
      <c r="I39" s="111">
        <v>19973.73</v>
      </c>
      <c r="J39" s="111"/>
      <c r="K39" s="111">
        <v>30683.3</v>
      </c>
      <c r="L39" s="111"/>
      <c r="M39" s="111">
        <v>15279.03</v>
      </c>
      <c r="N39" s="111"/>
      <c r="O39" s="111">
        <v>23598.02</v>
      </c>
      <c r="P39" s="111"/>
      <c r="Q39" s="111">
        <v>3527.23</v>
      </c>
      <c r="R39" s="111"/>
      <c r="S39" s="111">
        <v>5417.67</v>
      </c>
      <c r="T39" s="111"/>
      <c r="U39" s="111">
        <f>E39+I39+M39+Q39</f>
        <v>50653.26</v>
      </c>
      <c r="V39" s="111"/>
      <c r="W39" s="111">
        <f>G39+K39+O39+S39</f>
        <v>77980.160000000003</v>
      </c>
      <c r="X39" s="111"/>
      <c r="Y39" s="111">
        <f>U39+W39</f>
        <v>128633.42000000001</v>
      </c>
      <c r="AA39" s="276">
        <v>2.4095100000000001E-3</v>
      </c>
      <c r="AC39" s="276">
        <v>3.7009E-3</v>
      </c>
    </row>
    <row r="40" spans="1:29">
      <c r="A40" s="109"/>
      <c r="E40" s="112" t="s">
        <v>471</v>
      </c>
      <c r="G40" s="112" t="s">
        <v>471</v>
      </c>
      <c r="I40" s="112" t="s">
        <v>471</v>
      </c>
      <c r="K40" s="112" t="s">
        <v>471</v>
      </c>
      <c r="M40" s="112" t="s">
        <v>471</v>
      </c>
      <c r="O40" s="112" t="s">
        <v>471</v>
      </c>
      <c r="Q40" s="112" t="s">
        <v>471</v>
      </c>
      <c r="S40" s="112" t="s">
        <v>471</v>
      </c>
      <c r="U40" s="112" t="s">
        <v>471</v>
      </c>
      <c r="W40" s="112" t="s">
        <v>471</v>
      </c>
      <c r="Y40" s="112" t="s">
        <v>471</v>
      </c>
      <c r="AA40" s="114"/>
    </row>
    <row r="41" spans="1:29">
      <c r="A41" s="109"/>
      <c r="AA41" s="247"/>
      <c r="AB41" s="247"/>
    </row>
    <row r="42" spans="1:29">
      <c r="A42" s="109">
        <v>13</v>
      </c>
      <c r="B42" s="267" t="s">
        <v>472</v>
      </c>
      <c r="E42" s="111">
        <f>SUM(E17:E39)</f>
        <v>230899.04999999996</v>
      </c>
      <c r="G42" s="111">
        <f>SUM(G17:G39)</f>
        <v>327726.41000000003</v>
      </c>
      <c r="I42" s="111">
        <f>SUM(I17:I39)</f>
        <v>119922.31000000001</v>
      </c>
      <c r="K42" s="111">
        <f>SUM(K17:K39)</f>
        <v>164693.93</v>
      </c>
      <c r="M42" s="111">
        <f>SUM(M17:M39)</f>
        <v>147288.97</v>
      </c>
      <c r="O42" s="111">
        <f>SUM(O17:O39)</f>
        <v>202942.43000000002</v>
      </c>
      <c r="Q42" s="111">
        <f>SUM(Q17:Q39)</f>
        <v>16372.589999999998</v>
      </c>
      <c r="S42" s="111">
        <f>SUM(S17:S39)</f>
        <v>22689.86</v>
      </c>
      <c r="U42" s="111">
        <f>SUM(U17:U39)</f>
        <v>514482.9200000001</v>
      </c>
      <c r="W42" s="111">
        <f>SUM(W17:W39)</f>
        <v>718052.63</v>
      </c>
      <c r="Y42" s="111">
        <f>SUM(Y17:Y39)</f>
        <v>1232535.55</v>
      </c>
      <c r="AA42" s="247"/>
      <c r="AB42" s="247"/>
    </row>
    <row r="43" spans="1:29">
      <c r="A43" s="109"/>
      <c r="E43" s="112" t="s">
        <v>473</v>
      </c>
      <c r="G43" s="112" t="s">
        <v>473</v>
      </c>
      <c r="I43" s="112" t="s">
        <v>473</v>
      </c>
      <c r="K43" s="112" t="s">
        <v>473</v>
      </c>
      <c r="M43" s="112" t="s">
        <v>473</v>
      </c>
      <c r="O43" s="112" t="s">
        <v>473</v>
      </c>
      <c r="Q43" s="112" t="s">
        <v>473</v>
      </c>
      <c r="S43" s="112" t="s">
        <v>473</v>
      </c>
      <c r="U43" s="112" t="s">
        <v>473</v>
      </c>
      <c r="W43" s="112" t="s">
        <v>473</v>
      </c>
      <c r="Y43" s="112" t="s">
        <v>474</v>
      </c>
      <c r="AA43" s="114"/>
    </row>
    <row r="44" spans="1:29">
      <c r="A44" s="109"/>
      <c r="AA44" s="114"/>
    </row>
    <row r="45" spans="1:29">
      <c r="A45" s="109"/>
      <c r="AA45" s="114"/>
    </row>
    <row r="46" spans="1:29">
      <c r="A46" s="109"/>
      <c r="U46" s="247"/>
      <c r="V46" s="247"/>
      <c r="W46" s="247"/>
      <c r="AA46" s="114"/>
    </row>
    <row r="47" spans="1:29">
      <c r="A47" s="109"/>
      <c r="U47" s="247"/>
      <c r="V47" s="247"/>
      <c r="W47" s="247"/>
      <c r="AA47" s="114"/>
    </row>
    <row r="48" spans="1:29">
      <c r="A48" s="109"/>
      <c r="U48" s="247"/>
      <c r="V48" s="247"/>
      <c r="W48" s="247"/>
      <c r="AA48" s="114"/>
    </row>
    <row r="49" spans="1:29">
      <c r="A49" s="109"/>
      <c r="U49" s="247"/>
      <c r="V49" s="247"/>
      <c r="W49" s="247"/>
      <c r="AA49" s="114"/>
    </row>
    <row r="50" spans="1:29">
      <c r="A50" s="109"/>
      <c r="AA50" s="114"/>
    </row>
    <row r="51" spans="1:29" ht="12.75" customHeight="1">
      <c r="A51" s="109"/>
      <c r="AA51" s="114"/>
      <c r="AC51" s="241"/>
    </row>
    <row r="52" spans="1:29">
      <c r="A52" s="109"/>
      <c r="AC52" s="241"/>
    </row>
    <row r="53" spans="1:29">
      <c r="A53" s="109"/>
      <c r="AC53" s="241"/>
    </row>
    <row r="54" spans="1:29">
      <c r="A54" s="109"/>
      <c r="AC54" s="241"/>
    </row>
    <row r="55" spans="1:29">
      <c r="A55" s="109"/>
      <c r="AC55" s="241"/>
    </row>
    <row r="56" spans="1:29">
      <c r="AC56" s="241"/>
    </row>
    <row r="57" spans="1:29">
      <c r="AC57" s="241"/>
    </row>
    <row r="58" spans="1:29">
      <c r="AC58" s="241"/>
    </row>
    <row r="59" spans="1:29">
      <c r="AC59" s="241"/>
    </row>
  </sheetData>
  <mergeCells count="4">
    <mergeCell ref="A7:AC7"/>
    <mergeCell ref="A8:AC8"/>
    <mergeCell ref="A6:AC6"/>
    <mergeCell ref="A9:AC9"/>
  </mergeCells>
  <printOptions horizontalCentered="1"/>
  <pageMargins left="0.7" right="0.7" top="0.75" bottom="0.75" header="0.55000000000000004" footer="0.3"/>
  <pageSetup scale="64" orientation="landscape" r:id="rId1"/>
  <headerFooter>
    <oddHeader xml:space="preserve">&amp;CKENTUCKY POWER COMPANY
TEST YEAR ENDED FEBRUARY 28, 2017&amp;RSECTION V
SCHEDULE 8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5"/>
  <sheetViews>
    <sheetView zoomScale="90" zoomScaleNormal="90" workbookViewId="0">
      <pane xSplit="4" ySplit="11" topLeftCell="E12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ColWidth="9.140625" defaultRowHeight="12.75"/>
  <cols>
    <col min="1" max="1" width="2.28515625" style="89" customWidth="1"/>
    <col min="2" max="2" width="5" style="267" bestFit="1" customWidth="1"/>
    <col min="3" max="3" width="33.85546875" style="89" bestFit="1" customWidth="1"/>
    <col min="4" max="4" width="2.28515625" style="89" customWidth="1"/>
    <col min="5" max="14" width="10.7109375" style="89" customWidth="1"/>
    <col min="15" max="15" width="10.42578125" style="89" customWidth="1"/>
    <col min="16" max="16" width="10.7109375" style="89" customWidth="1"/>
    <col min="17" max="17" width="12.7109375" style="89" customWidth="1"/>
    <col min="18" max="18" width="2.28515625" style="89" customWidth="1"/>
    <col min="19" max="19" width="10.85546875" style="89" bestFit="1" customWidth="1"/>
    <col min="20" max="16384" width="9.140625" style="89"/>
  </cols>
  <sheetData>
    <row r="1" spans="2:18">
      <c r="Q1" s="102"/>
    </row>
    <row r="2" spans="2:18">
      <c r="Q2" s="102"/>
    </row>
    <row r="3" spans="2:18">
      <c r="I3" s="267"/>
    </row>
    <row r="4" spans="2:18">
      <c r="I4" s="211" t="s">
        <v>853</v>
      </c>
    </row>
    <row r="5" spans="2:18">
      <c r="I5" s="103"/>
    </row>
    <row r="8" spans="2:18" ht="25.5">
      <c r="B8" s="105" t="s">
        <v>453</v>
      </c>
      <c r="C8" s="233" t="s">
        <v>336</v>
      </c>
      <c r="E8" s="105" t="s">
        <v>712</v>
      </c>
      <c r="F8" s="105" t="s">
        <v>713</v>
      </c>
      <c r="G8" s="105" t="s">
        <v>714</v>
      </c>
      <c r="H8" s="105" t="s">
        <v>715</v>
      </c>
      <c r="I8" s="105" t="s">
        <v>716</v>
      </c>
      <c r="J8" s="105" t="s">
        <v>717</v>
      </c>
      <c r="K8" s="105" t="s">
        <v>718</v>
      </c>
      <c r="L8" s="105" t="s">
        <v>719</v>
      </c>
      <c r="M8" s="105" t="s">
        <v>720</v>
      </c>
      <c r="N8" s="105" t="s">
        <v>721</v>
      </c>
      <c r="O8" s="105" t="s">
        <v>722</v>
      </c>
      <c r="P8" s="105" t="s">
        <v>723</v>
      </c>
      <c r="Q8" s="105" t="s">
        <v>724</v>
      </c>
    </row>
    <row r="9" spans="2:18">
      <c r="B9" s="109"/>
    </row>
    <row r="10" spans="2:18" ht="26.1" customHeight="1">
      <c r="B10" s="109">
        <v>1</v>
      </c>
      <c r="C10" s="89" t="s">
        <v>725</v>
      </c>
      <c r="E10" s="105" t="s">
        <v>906</v>
      </c>
      <c r="F10" s="105" t="s">
        <v>907</v>
      </c>
      <c r="G10" s="105" t="s">
        <v>908</v>
      </c>
      <c r="H10" s="105" t="s">
        <v>909</v>
      </c>
      <c r="I10" s="105" t="s">
        <v>910</v>
      </c>
      <c r="J10" s="105" t="s">
        <v>911</v>
      </c>
      <c r="K10" s="105" t="s">
        <v>912</v>
      </c>
      <c r="L10" s="105" t="s">
        <v>913</v>
      </c>
      <c r="M10" s="105" t="s">
        <v>914</v>
      </c>
      <c r="N10" s="105" t="s">
        <v>915</v>
      </c>
      <c r="O10" s="105" t="s">
        <v>966</v>
      </c>
      <c r="P10" s="105" t="s">
        <v>967</v>
      </c>
      <c r="Q10" s="105" t="s">
        <v>726</v>
      </c>
      <c r="R10" s="233"/>
    </row>
    <row r="11" spans="2:18" ht="26.1" customHeight="1">
      <c r="B11" s="109">
        <f>+B10+1</f>
        <v>2</v>
      </c>
      <c r="C11" s="89" t="s">
        <v>727</v>
      </c>
      <c r="E11" s="271" t="s">
        <v>730</v>
      </c>
      <c r="F11" s="271" t="s">
        <v>730</v>
      </c>
      <c r="G11" s="271" t="s">
        <v>729</v>
      </c>
      <c r="H11" s="271" t="s">
        <v>729</v>
      </c>
      <c r="I11" s="271" t="s">
        <v>728</v>
      </c>
      <c r="J11" s="271" t="s">
        <v>729</v>
      </c>
      <c r="K11" s="271" t="s">
        <v>729</v>
      </c>
      <c r="L11" s="271" t="s">
        <v>729</v>
      </c>
      <c r="M11" s="271" t="s">
        <v>730</v>
      </c>
      <c r="N11" s="271" t="s">
        <v>730</v>
      </c>
      <c r="O11" s="271" t="s">
        <v>730</v>
      </c>
      <c r="P11" s="271" t="s">
        <v>968</v>
      </c>
      <c r="Q11" s="271" t="s">
        <v>731</v>
      </c>
      <c r="R11" s="254"/>
    </row>
    <row r="12" spans="2:18" ht="12.75" customHeight="1">
      <c r="B12" s="109"/>
      <c r="E12" s="271" t="s">
        <v>732</v>
      </c>
      <c r="F12" s="271" t="s">
        <v>732</v>
      </c>
      <c r="G12" s="271" t="s">
        <v>732</v>
      </c>
      <c r="H12" s="271" t="s">
        <v>732</v>
      </c>
      <c r="I12" s="271" t="s">
        <v>732</v>
      </c>
      <c r="J12" s="271" t="s">
        <v>732</v>
      </c>
      <c r="K12" s="271" t="s">
        <v>732</v>
      </c>
      <c r="L12" s="271" t="s">
        <v>732</v>
      </c>
      <c r="M12" s="271" t="s">
        <v>732</v>
      </c>
      <c r="N12" s="271" t="s">
        <v>732</v>
      </c>
      <c r="O12" s="271" t="s">
        <v>732</v>
      </c>
      <c r="P12" s="271" t="s">
        <v>732</v>
      </c>
      <c r="Q12" s="271" t="s">
        <v>732</v>
      </c>
    </row>
    <row r="13" spans="2:18" ht="12.75" customHeight="1">
      <c r="B13" s="109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2:18" ht="12.75" customHeight="1">
      <c r="B14" s="109">
        <f>+B11+1</f>
        <v>3</v>
      </c>
      <c r="C14" s="89" t="s">
        <v>733</v>
      </c>
      <c r="E14" s="232">
        <v>1018</v>
      </c>
      <c r="F14" s="232">
        <v>894</v>
      </c>
      <c r="G14" s="232">
        <v>892</v>
      </c>
      <c r="H14" s="232">
        <v>995</v>
      </c>
      <c r="I14" s="232">
        <v>1037</v>
      </c>
      <c r="J14" s="232">
        <v>1044</v>
      </c>
      <c r="K14" s="232">
        <v>983</v>
      </c>
      <c r="L14" s="232">
        <v>783</v>
      </c>
      <c r="M14" s="232">
        <v>1030</v>
      </c>
      <c r="N14" s="232">
        <v>1160</v>
      </c>
      <c r="O14" s="232">
        <v>1214</v>
      </c>
      <c r="P14" s="232">
        <v>1131</v>
      </c>
      <c r="Q14" s="232">
        <f>SUM(E14:P14)</f>
        <v>12181</v>
      </c>
    </row>
    <row r="15" spans="2:18" ht="12.75" customHeight="1">
      <c r="B15" s="109">
        <f>+B14+1</f>
        <v>4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>
        <f>ROUND(Q14/12,3)</f>
        <v>1015.083</v>
      </c>
    </row>
    <row r="16" spans="2:18" ht="12.75" customHeight="1">
      <c r="B16" s="109">
        <f>+B15+1</f>
        <v>5</v>
      </c>
      <c r="C16" s="89" t="s">
        <v>734</v>
      </c>
      <c r="E16" s="232">
        <v>0</v>
      </c>
      <c r="F16" s="232">
        <v>0</v>
      </c>
      <c r="G16" s="232">
        <v>0</v>
      </c>
      <c r="H16" s="232">
        <v>141.6</v>
      </c>
      <c r="I16" s="232">
        <v>388.5</v>
      </c>
      <c r="J16" s="232">
        <v>0</v>
      </c>
      <c r="K16" s="232">
        <v>351.9</v>
      </c>
      <c r="L16" s="232">
        <v>261.3</v>
      </c>
      <c r="M16" s="232">
        <v>452.1</v>
      </c>
      <c r="N16" s="232">
        <v>319.60000000000002</v>
      </c>
      <c r="O16" s="232">
        <v>0</v>
      </c>
      <c r="P16" s="232">
        <v>0</v>
      </c>
      <c r="Q16" s="232">
        <f>SUM(E16:P16)</f>
        <v>1915</v>
      </c>
    </row>
    <row r="17" spans="2:19" ht="12.75" customHeight="1">
      <c r="B17" s="109">
        <f>+B16+1</f>
        <v>6</v>
      </c>
      <c r="C17" s="89" t="s">
        <v>735</v>
      </c>
      <c r="E17" s="251">
        <v>1.0341260000000001</v>
      </c>
      <c r="F17" s="251">
        <v>1.0341260000000001</v>
      </c>
      <c r="G17" s="251">
        <v>1.0341260000000001</v>
      </c>
      <c r="H17" s="251">
        <v>1.0341260000000001</v>
      </c>
      <c r="I17" s="251">
        <v>1.0341260000000001</v>
      </c>
      <c r="J17" s="251">
        <v>1.0341260000000001</v>
      </c>
      <c r="K17" s="251">
        <v>1.0341260000000001</v>
      </c>
      <c r="L17" s="251">
        <v>1.0341260000000001</v>
      </c>
      <c r="M17" s="251">
        <v>1.0341260000000001</v>
      </c>
      <c r="N17" s="251">
        <v>1.0341260000000001</v>
      </c>
      <c r="O17" s="251">
        <v>1.0341260000000001</v>
      </c>
      <c r="P17" s="251">
        <v>1.0341260000000001</v>
      </c>
      <c r="Q17" s="232"/>
    </row>
    <row r="18" spans="2:19" ht="12.75" customHeight="1">
      <c r="B18" s="109">
        <f>+B17+1</f>
        <v>7</v>
      </c>
      <c r="C18" s="89" t="s">
        <v>736</v>
      </c>
      <c r="E18" s="232">
        <f>ROUND(E16*E17,3)</f>
        <v>0</v>
      </c>
      <c r="F18" s="232">
        <f t="shared" ref="F18:P18" si="0">ROUND(F16*F17,3)</f>
        <v>0</v>
      </c>
      <c r="G18" s="232">
        <f t="shared" si="0"/>
        <v>0</v>
      </c>
      <c r="H18" s="232">
        <f t="shared" si="0"/>
        <v>146.43199999999999</v>
      </c>
      <c r="I18" s="232">
        <f t="shared" si="0"/>
        <v>401.75799999999998</v>
      </c>
      <c r="J18" s="232">
        <f t="shared" si="0"/>
        <v>0</v>
      </c>
      <c r="K18" s="232">
        <f t="shared" si="0"/>
        <v>363.90899999999999</v>
      </c>
      <c r="L18" s="232">
        <f t="shared" si="0"/>
        <v>270.21699999999998</v>
      </c>
      <c r="M18" s="232">
        <f t="shared" si="0"/>
        <v>467.52800000000002</v>
      </c>
      <c r="N18" s="232">
        <f t="shared" si="0"/>
        <v>330.50700000000001</v>
      </c>
      <c r="O18" s="232">
        <f t="shared" si="0"/>
        <v>0</v>
      </c>
      <c r="P18" s="232">
        <f t="shared" si="0"/>
        <v>0</v>
      </c>
      <c r="Q18" s="232">
        <f>SUM(E18:P18)</f>
        <v>1980.3509999999999</v>
      </c>
    </row>
    <row r="19" spans="2:19" ht="12.75" customHeight="1">
      <c r="B19" s="109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232">
        <f>ROUND(Q18/12,3)</f>
        <v>165.029</v>
      </c>
      <c r="S19" s="232"/>
    </row>
    <row r="20" spans="2:19" ht="12.75" customHeight="1">
      <c r="B20" s="109">
        <v>8</v>
      </c>
      <c r="C20" s="89" t="s">
        <v>899</v>
      </c>
      <c r="E20" s="38">
        <v>3</v>
      </c>
      <c r="F20" s="38">
        <v>3</v>
      </c>
      <c r="G20" s="38">
        <v>1</v>
      </c>
      <c r="H20" s="38">
        <v>2</v>
      </c>
      <c r="I20" s="38">
        <v>2</v>
      </c>
      <c r="J20" s="38">
        <v>3</v>
      </c>
      <c r="K20" s="38">
        <v>2</v>
      </c>
      <c r="L20" s="38">
        <v>2</v>
      </c>
      <c r="M20" s="38">
        <v>4</v>
      </c>
      <c r="N20" s="38">
        <v>2</v>
      </c>
      <c r="O20" s="38">
        <v>2</v>
      </c>
      <c r="P20" s="38">
        <v>2</v>
      </c>
      <c r="Q20" s="232"/>
    </row>
    <row r="21" spans="2:19" ht="12.75" customHeight="1">
      <c r="B21" s="109">
        <v>9</v>
      </c>
      <c r="C21" s="89" t="s">
        <v>735</v>
      </c>
      <c r="E21" s="251">
        <v>1.0341260000000001</v>
      </c>
      <c r="F21" s="251">
        <v>1.0341260000000001</v>
      </c>
      <c r="G21" s="251">
        <v>1.0341260000000001</v>
      </c>
      <c r="H21" s="251">
        <v>1.0341260000000001</v>
      </c>
      <c r="I21" s="251">
        <v>1.0341260000000001</v>
      </c>
      <c r="J21" s="251">
        <v>1.0341260000000001</v>
      </c>
      <c r="K21" s="251">
        <v>1.0341260000000001</v>
      </c>
      <c r="L21" s="251">
        <v>1.0341260000000001</v>
      </c>
      <c r="M21" s="251">
        <v>1.0341260000000001</v>
      </c>
      <c r="N21" s="251">
        <v>1.0341260000000001</v>
      </c>
      <c r="O21" s="251">
        <v>1.0341260000000001</v>
      </c>
      <c r="P21" s="251">
        <v>1.0341260000000001</v>
      </c>
      <c r="Q21" s="232"/>
    </row>
    <row r="22" spans="2:19" ht="12.75" customHeight="1">
      <c r="B22" s="109">
        <v>10</v>
      </c>
      <c r="C22" s="89" t="s">
        <v>899</v>
      </c>
      <c r="E22" s="232">
        <f>ROUND(E20*E21,3)</f>
        <v>3.1019999999999999</v>
      </c>
      <c r="F22" s="232">
        <f>ROUND(F20*F21,3)</f>
        <v>3.1019999999999999</v>
      </c>
      <c r="G22" s="232">
        <f>ROUND(G20*G21,3)</f>
        <v>1.034</v>
      </c>
      <c r="H22" s="232">
        <f t="shared" ref="H22:P22" si="1">ROUND(H20*H21,3)</f>
        <v>2.0680000000000001</v>
      </c>
      <c r="I22" s="232">
        <f t="shared" si="1"/>
        <v>2.0680000000000001</v>
      </c>
      <c r="J22" s="232">
        <f t="shared" si="1"/>
        <v>3.1019999999999999</v>
      </c>
      <c r="K22" s="232">
        <f t="shared" si="1"/>
        <v>2.0680000000000001</v>
      </c>
      <c r="L22" s="232">
        <f t="shared" si="1"/>
        <v>2.0680000000000001</v>
      </c>
      <c r="M22" s="232">
        <f t="shared" si="1"/>
        <v>4.1369999999999996</v>
      </c>
      <c r="N22" s="232">
        <f t="shared" si="1"/>
        <v>2.0680000000000001</v>
      </c>
      <c r="O22" s="232">
        <f>ROUND(O20*O21,3)</f>
        <v>2.0680000000000001</v>
      </c>
      <c r="P22" s="232">
        <f t="shared" si="1"/>
        <v>2.0680000000000001</v>
      </c>
      <c r="Q22" s="232">
        <f>SUM(E22:P22)</f>
        <v>28.953000000000007</v>
      </c>
    </row>
    <row r="23" spans="2:19" ht="12.75" customHeight="1">
      <c r="B23" s="109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232">
        <f>ROUND(Q22/12,3)</f>
        <v>2.4129999999999998</v>
      </c>
    </row>
    <row r="24" spans="2:19" ht="12.75" customHeight="1">
      <c r="B24" s="109">
        <v>11</v>
      </c>
      <c r="C24" s="89" t="s">
        <v>897</v>
      </c>
      <c r="E24" s="232">
        <f>+E14-(E18-E16)-E22</f>
        <v>1014.898</v>
      </c>
      <c r="F24" s="232">
        <f t="shared" ref="F24:P24" si="2">+F14-(F18-F16)-F22</f>
        <v>890.89800000000002</v>
      </c>
      <c r="G24" s="232">
        <f t="shared" si="2"/>
        <v>890.96600000000001</v>
      </c>
      <c r="H24" s="232">
        <f t="shared" si="2"/>
        <v>988.1</v>
      </c>
      <c r="I24" s="232">
        <f t="shared" si="2"/>
        <v>1021.674</v>
      </c>
      <c r="J24" s="232">
        <f t="shared" si="2"/>
        <v>1040.8979999999999</v>
      </c>
      <c r="K24" s="232">
        <f t="shared" si="2"/>
        <v>968.923</v>
      </c>
      <c r="L24" s="232">
        <f t="shared" si="2"/>
        <v>772.0150000000001</v>
      </c>
      <c r="M24" s="232">
        <f t="shared" si="2"/>
        <v>1010.4350000000001</v>
      </c>
      <c r="N24" s="232">
        <f>+N14-(N18-N16)-N22</f>
        <v>1147.0250000000001</v>
      </c>
      <c r="O24" s="232">
        <f>+O14-(O18-O16)-O22</f>
        <v>1211.932</v>
      </c>
      <c r="P24" s="232">
        <f t="shared" si="2"/>
        <v>1128.932</v>
      </c>
      <c r="Q24" s="232">
        <f>SUM(E24:P24)</f>
        <v>12086.696000000002</v>
      </c>
    </row>
    <row r="25" spans="2:19" ht="12.75" customHeight="1">
      <c r="B25" s="109">
        <f>+B24+1</f>
        <v>12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232">
        <f>ROUND(Q24/12,3)</f>
        <v>1007.225</v>
      </c>
    </row>
    <row r="26" spans="2:19" ht="12.75" customHeight="1">
      <c r="B26" s="109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2:19" ht="12.75" customHeight="1">
      <c r="B27" s="109"/>
      <c r="C27" s="233" t="s">
        <v>737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2:19" ht="12.75" customHeight="1">
      <c r="B28" s="109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2:19" ht="30" customHeight="1">
      <c r="B29" s="109">
        <f>+B25+1</f>
        <v>13</v>
      </c>
      <c r="C29" s="89" t="s">
        <v>738</v>
      </c>
      <c r="E29" s="232">
        <f>'Olive Hill - Vanceburg'!E10/1000</f>
        <v>3.94</v>
      </c>
      <c r="F29" s="232">
        <f>'Olive Hill - Vanceburg'!E11/1000</f>
        <v>3.512</v>
      </c>
      <c r="G29" s="232">
        <f>'Olive Hill - Vanceburg'!E12/1000</f>
        <v>3.7530000000000001</v>
      </c>
      <c r="H29" s="232">
        <f>'Olive Hill - Vanceburg'!E13/1000</f>
        <v>4.3230000000000004</v>
      </c>
      <c r="I29" s="232">
        <f>'Olive Hill - Vanceburg'!$E14/1000</f>
        <v>4.6630000000000003</v>
      </c>
      <c r="J29" s="232">
        <f>'Olive Hill - Vanceburg'!$E15/1000</f>
        <v>4.7160000000000002</v>
      </c>
      <c r="K29" s="232">
        <f>'Olive Hill - Vanceburg'!$E16/1000</f>
        <v>4.3369999999999997</v>
      </c>
      <c r="L29" s="232">
        <f>'Olive Hill - Vanceburg'!$E17/1000</f>
        <v>3.0209999999999999</v>
      </c>
      <c r="M29" s="232">
        <f>'Olive Hill - Vanceburg'!$E18/1000</f>
        <v>3.9249999999999998</v>
      </c>
      <c r="N29" s="232">
        <f>'Olive Hill - Vanceburg'!$E19/1000</f>
        <v>5.1509999999999998</v>
      </c>
      <c r="O29" s="232">
        <f>'Olive Hill - Vanceburg'!$E20/1000</f>
        <v>5.1539999999999999</v>
      </c>
      <c r="P29" s="232">
        <f>'Olive Hill - Vanceburg'!$E21/1000</f>
        <v>4.7329999999999997</v>
      </c>
      <c r="Q29" s="232">
        <f>SUM(E29:P29)</f>
        <v>51.227999999999987</v>
      </c>
    </row>
    <row r="30" spans="2:19" ht="12.75" customHeight="1">
      <c r="B30" s="109">
        <f>+B29+1</f>
        <v>14</v>
      </c>
      <c r="C30" s="3" t="s">
        <v>735</v>
      </c>
      <c r="E30" s="251">
        <v>1.0551999999999999</v>
      </c>
      <c r="F30" s="251">
        <f>+$E$30</f>
        <v>1.0551999999999999</v>
      </c>
      <c r="G30" s="251">
        <f t="shared" ref="G30:P30" si="3">+$E$30</f>
        <v>1.0551999999999999</v>
      </c>
      <c r="H30" s="251">
        <f t="shared" si="3"/>
        <v>1.0551999999999999</v>
      </c>
      <c r="I30" s="251">
        <f t="shared" si="3"/>
        <v>1.0551999999999999</v>
      </c>
      <c r="J30" s="251">
        <f t="shared" si="3"/>
        <v>1.0551999999999999</v>
      </c>
      <c r="K30" s="251">
        <f t="shared" si="3"/>
        <v>1.0551999999999999</v>
      </c>
      <c r="L30" s="251">
        <f t="shared" si="3"/>
        <v>1.0551999999999999</v>
      </c>
      <c r="M30" s="251">
        <f t="shared" si="3"/>
        <v>1.0551999999999999</v>
      </c>
      <c r="N30" s="251">
        <f t="shared" si="3"/>
        <v>1.0551999999999999</v>
      </c>
      <c r="O30" s="251">
        <f t="shared" si="3"/>
        <v>1.0551999999999999</v>
      </c>
      <c r="P30" s="251">
        <f t="shared" si="3"/>
        <v>1.0551999999999999</v>
      </c>
      <c r="Q30" s="232"/>
    </row>
    <row r="31" spans="2:19" ht="12.75" customHeight="1">
      <c r="B31" s="109">
        <f>+B30+1</f>
        <v>15</v>
      </c>
      <c r="C31" s="89" t="s">
        <v>739</v>
      </c>
      <c r="E31" s="232">
        <f t="shared" ref="E31:P31" si="4">ROUND(E29*E30,3)</f>
        <v>4.157</v>
      </c>
      <c r="F31" s="232">
        <f t="shared" si="4"/>
        <v>3.706</v>
      </c>
      <c r="G31" s="232">
        <f t="shared" si="4"/>
        <v>3.96</v>
      </c>
      <c r="H31" s="232">
        <f t="shared" si="4"/>
        <v>4.5620000000000003</v>
      </c>
      <c r="I31" s="232">
        <f t="shared" si="4"/>
        <v>4.92</v>
      </c>
      <c r="J31" s="232">
        <f t="shared" si="4"/>
        <v>4.976</v>
      </c>
      <c r="K31" s="232">
        <f t="shared" si="4"/>
        <v>4.5759999999999996</v>
      </c>
      <c r="L31" s="232">
        <f t="shared" si="4"/>
        <v>3.1880000000000002</v>
      </c>
      <c r="M31" s="232">
        <f t="shared" si="4"/>
        <v>4.1420000000000003</v>
      </c>
      <c r="N31" s="232">
        <f t="shared" si="4"/>
        <v>5.4349999999999996</v>
      </c>
      <c r="O31" s="232">
        <f t="shared" si="4"/>
        <v>5.4390000000000001</v>
      </c>
      <c r="P31" s="232">
        <f t="shared" si="4"/>
        <v>4.9939999999999998</v>
      </c>
      <c r="Q31" s="232">
        <f>SUM(E31:P31)</f>
        <v>54.055000000000007</v>
      </c>
    </row>
    <row r="32" spans="2:19" ht="12.75" customHeight="1">
      <c r="B32" s="109">
        <f>+B31+1</f>
        <v>16</v>
      </c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>
        <f>ROUND(Q31/12,3)</f>
        <v>4.5049999999999999</v>
      </c>
    </row>
    <row r="33" spans="2:17" ht="12.75" customHeight="1">
      <c r="B33" s="109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</row>
    <row r="34" spans="2:17" ht="30" customHeight="1">
      <c r="B34" s="109">
        <f>+B32+1</f>
        <v>17</v>
      </c>
      <c r="C34" s="89" t="s">
        <v>740</v>
      </c>
      <c r="E34" s="232">
        <f>'Olive Hill - Vanceburg'!H10/1000</f>
        <v>9.7210000000000001</v>
      </c>
      <c r="F34" s="232">
        <f>'Olive Hill - Vanceburg'!H11/1000</f>
        <v>8.9489999999999998</v>
      </c>
      <c r="G34" s="232">
        <f>'Olive Hill - Vanceburg'!H12/1000</f>
        <v>9.1519999999999992</v>
      </c>
      <c r="H34" s="232">
        <f>'Olive Hill - Vanceburg'!H13/1000</f>
        <v>10.351000000000001</v>
      </c>
      <c r="I34" s="232">
        <f>'Olive Hill - Vanceburg'!H14/1000</f>
        <v>11.227</v>
      </c>
      <c r="J34" s="232">
        <f>'Olive Hill - Vanceburg'!H15/1000</f>
        <v>10.928000000000001</v>
      </c>
      <c r="K34" s="232">
        <f>'Olive Hill - Vanceburg'!H16/1000</f>
        <v>10.634</v>
      </c>
      <c r="L34" s="232">
        <f>'Olive Hill - Vanceburg'!H17/1000</f>
        <v>7.7539999999999996</v>
      </c>
      <c r="M34" s="232">
        <f>'Olive Hill - Vanceburg'!H18/1000</f>
        <v>9.8179999999999996</v>
      </c>
      <c r="N34" s="232">
        <f>'Olive Hill - Vanceburg'!H19/1000</f>
        <v>12.221</v>
      </c>
      <c r="O34" s="232">
        <f>'Olive Hill - Vanceburg'!H20/1000</f>
        <v>11.486000000000001</v>
      </c>
      <c r="P34" s="232">
        <f>'Olive Hill - Vanceburg'!H21/1000</f>
        <v>10.718</v>
      </c>
      <c r="Q34" s="232">
        <f>SUM(E34:P34)</f>
        <v>122.95900000000002</v>
      </c>
    </row>
    <row r="35" spans="2:17" ht="12.75" customHeight="1">
      <c r="B35" s="109">
        <f>+B34+1</f>
        <v>18</v>
      </c>
      <c r="C35" s="3" t="s">
        <v>735</v>
      </c>
      <c r="E35" s="251">
        <v>1.0341260000000001</v>
      </c>
      <c r="F35" s="251">
        <f>+$E$35</f>
        <v>1.0341260000000001</v>
      </c>
      <c r="G35" s="251">
        <f t="shared" ref="G35:P35" si="5">+$E$35</f>
        <v>1.0341260000000001</v>
      </c>
      <c r="H35" s="251">
        <f t="shared" si="5"/>
        <v>1.0341260000000001</v>
      </c>
      <c r="I35" s="251">
        <f t="shared" si="5"/>
        <v>1.0341260000000001</v>
      </c>
      <c r="J35" s="251">
        <f t="shared" si="5"/>
        <v>1.0341260000000001</v>
      </c>
      <c r="K35" s="251">
        <f t="shared" si="5"/>
        <v>1.0341260000000001</v>
      </c>
      <c r="L35" s="251">
        <f t="shared" si="5"/>
        <v>1.0341260000000001</v>
      </c>
      <c r="M35" s="251">
        <f t="shared" si="5"/>
        <v>1.0341260000000001</v>
      </c>
      <c r="N35" s="251">
        <f t="shared" si="5"/>
        <v>1.0341260000000001</v>
      </c>
      <c r="O35" s="251">
        <f t="shared" si="5"/>
        <v>1.0341260000000001</v>
      </c>
      <c r="P35" s="251">
        <f t="shared" si="5"/>
        <v>1.0341260000000001</v>
      </c>
      <c r="Q35" s="232"/>
    </row>
    <row r="36" spans="2:17" ht="12.75" customHeight="1">
      <c r="B36" s="109">
        <f>+B35+1</f>
        <v>19</v>
      </c>
      <c r="C36" s="89" t="s">
        <v>741</v>
      </c>
      <c r="E36" s="232">
        <f>ROUND(E34*E35,3)</f>
        <v>10.053000000000001</v>
      </c>
      <c r="F36" s="232">
        <f t="shared" ref="F36:P36" si="6">ROUND(F34*F35,3)</f>
        <v>9.2539999999999996</v>
      </c>
      <c r="G36" s="232">
        <f t="shared" si="6"/>
        <v>9.4640000000000004</v>
      </c>
      <c r="H36" s="232">
        <f t="shared" si="6"/>
        <v>10.704000000000001</v>
      </c>
      <c r="I36" s="232">
        <f t="shared" si="6"/>
        <v>11.61</v>
      </c>
      <c r="J36" s="232">
        <f t="shared" si="6"/>
        <v>11.301</v>
      </c>
      <c r="K36" s="232">
        <f t="shared" si="6"/>
        <v>10.997</v>
      </c>
      <c r="L36" s="232">
        <f t="shared" si="6"/>
        <v>8.0190000000000001</v>
      </c>
      <c r="M36" s="232">
        <f t="shared" si="6"/>
        <v>10.153</v>
      </c>
      <c r="N36" s="232">
        <f t="shared" si="6"/>
        <v>12.638</v>
      </c>
      <c r="O36" s="232">
        <f t="shared" si="6"/>
        <v>11.878</v>
      </c>
      <c r="P36" s="232">
        <f t="shared" si="6"/>
        <v>11.084</v>
      </c>
      <c r="Q36" s="232">
        <f>SUM(E36:P36)</f>
        <v>127.15500000000003</v>
      </c>
    </row>
    <row r="37" spans="2:17" ht="12.75" customHeight="1">
      <c r="B37" s="109">
        <f>+B36+1</f>
        <v>20</v>
      </c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>
        <f>ROUND(Q36/12,3)</f>
        <v>10.596</v>
      </c>
    </row>
    <row r="38" spans="2:17">
      <c r="B38" s="109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</row>
    <row r="39" spans="2:17">
      <c r="B39" s="109">
        <f>+B37+1</f>
        <v>21</v>
      </c>
      <c r="C39" s="89" t="s">
        <v>742</v>
      </c>
      <c r="E39" s="14">
        <f>+E31+E36</f>
        <v>14.21</v>
      </c>
      <c r="F39" s="14">
        <f t="shared" ref="F39:P39" si="7">+F31+F36</f>
        <v>12.959999999999999</v>
      </c>
      <c r="G39" s="14">
        <f t="shared" si="7"/>
        <v>13.423999999999999</v>
      </c>
      <c r="H39" s="14">
        <f t="shared" si="7"/>
        <v>15.266000000000002</v>
      </c>
      <c r="I39" s="14">
        <f t="shared" si="7"/>
        <v>16.53</v>
      </c>
      <c r="J39" s="14">
        <f t="shared" si="7"/>
        <v>16.277000000000001</v>
      </c>
      <c r="K39" s="14">
        <f t="shared" si="7"/>
        <v>15.573</v>
      </c>
      <c r="L39" s="14">
        <f t="shared" si="7"/>
        <v>11.207000000000001</v>
      </c>
      <c r="M39" s="14">
        <f t="shared" si="7"/>
        <v>14.295000000000002</v>
      </c>
      <c r="N39" s="14">
        <f t="shared" si="7"/>
        <v>18.073</v>
      </c>
      <c r="O39" s="14">
        <f t="shared" si="7"/>
        <v>17.317</v>
      </c>
      <c r="P39" s="14">
        <f t="shared" si="7"/>
        <v>16.077999999999999</v>
      </c>
      <c r="Q39" s="232">
        <f>SUM(E39:P39)</f>
        <v>181.21000000000004</v>
      </c>
    </row>
    <row r="40" spans="2:17">
      <c r="B40" s="109">
        <f>+B39+1</f>
        <v>22</v>
      </c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232">
        <f>ROUND(Q39/12,3)</f>
        <v>15.101000000000001</v>
      </c>
    </row>
    <row r="41" spans="2:17">
      <c r="B41" s="109"/>
    </row>
    <row r="42" spans="2:17">
      <c r="B42" s="109">
        <f>+B40+1</f>
        <v>23</v>
      </c>
      <c r="C42" s="110" t="s">
        <v>743</v>
      </c>
      <c r="F42" s="232">
        <f>+Q40</f>
        <v>15.101000000000001</v>
      </c>
      <c r="G42" s="358" t="s">
        <v>744</v>
      </c>
      <c r="H42" s="232">
        <f>+$Q$25</f>
        <v>1007.225</v>
      </c>
      <c r="I42" s="358" t="s">
        <v>745</v>
      </c>
      <c r="J42" s="3">
        <f>ROUND(F42/H42,3)</f>
        <v>1.4999999999999999E-2</v>
      </c>
      <c r="L42" s="232"/>
      <c r="M42" s="358"/>
      <c r="N42" s="232"/>
      <c r="O42" s="358"/>
    </row>
    <row r="43" spans="2:17">
      <c r="B43" s="109"/>
    </row>
    <row r="44" spans="2:17">
      <c r="B44" s="109">
        <f>+B42+1</f>
        <v>24</v>
      </c>
      <c r="C44" s="89" t="s">
        <v>746</v>
      </c>
      <c r="E44" s="14">
        <f>+E24-E39</f>
        <v>1000.688</v>
      </c>
      <c r="F44" s="14">
        <f t="shared" ref="F44:O44" si="8">+F24-F39</f>
        <v>877.93799999999999</v>
      </c>
      <c r="G44" s="14">
        <f t="shared" si="8"/>
        <v>877.54200000000003</v>
      </c>
      <c r="H44" s="14">
        <f t="shared" si="8"/>
        <v>972.83400000000006</v>
      </c>
      <c r="I44" s="14">
        <f t="shared" si="8"/>
        <v>1005.144</v>
      </c>
      <c r="J44" s="14">
        <f t="shared" si="8"/>
        <v>1024.6209999999999</v>
      </c>
      <c r="K44" s="14">
        <f t="shared" si="8"/>
        <v>953.35</v>
      </c>
      <c r="L44" s="14">
        <f t="shared" si="8"/>
        <v>760.80800000000011</v>
      </c>
      <c r="M44" s="14">
        <f t="shared" si="8"/>
        <v>996.1400000000001</v>
      </c>
      <c r="N44" s="14">
        <f t="shared" si="8"/>
        <v>1128.952</v>
      </c>
      <c r="O44" s="14">
        <f t="shared" si="8"/>
        <v>1194.615</v>
      </c>
      <c r="P44" s="14">
        <f>+P24-P39</f>
        <v>1112.854</v>
      </c>
      <c r="Q44" s="232">
        <f>SUM(E44:P44)</f>
        <v>11905.485999999999</v>
      </c>
    </row>
    <row r="45" spans="2:17">
      <c r="B45" s="109">
        <f>+B44+1</f>
        <v>25</v>
      </c>
      <c r="P45" s="114"/>
      <c r="Q45" s="232">
        <f>ROUND(Q44/12,3)</f>
        <v>992.12400000000002</v>
      </c>
    </row>
    <row r="46" spans="2:17">
      <c r="B46" s="109"/>
      <c r="P46" s="114"/>
    </row>
    <row r="47" spans="2:17" ht="12.75" customHeight="1">
      <c r="B47" s="109">
        <f>+B45+1</f>
        <v>26</v>
      </c>
      <c r="C47" s="110" t="s">
        <v>747</v>
      </c>
      <c r="F47" s="14">
        <f>+Q45</f>
        <v>992.12400000000002</v>
      </c>
      <c r="G47" s="269" t="s">
        <v>744</v>
      </c>
      <c r="H47" s="14">
        <f>+$Q$25</f>
        <v>1007.225</v>
      </c>
      <c r="I47" s="358" t="s">
        <v>745</v>
      </c>
      <c r="J47" s="3">
        <f>ROUND(F47/H47,3)</f>
        <v>0.98499999999999999</v>
      </c>
      <c r="Q47" s="241"/>
    </row>
    <row r="48" spans="2:17" ht="17.25" customHeight="1">
      <c r="B48" s="109"/>
      <c r="F48" s="14"/>
      <c r="G48" s="14"/>
      <c r="H48" s="14"/>
      <c r="Q48" s="241"/>
    </row>
    <row r="49" spans="2:17" ht="25.5" customHeight="1">
      <c r="B49" s="109" t="s">
        <v>571</v>
      </c>
      <c r="C49" s="89" t="s">
        <v>748</v>
      </c>
      <c r="Q49" s="241"/>
    </row>
    <row r="50" spans="2:17" ht="26.25" customHeight="1">
      <c r="Q50" s="241"/>
    </row>
    <row r="51" spans="2:17">
      <c r="Q51" s="241"/>
    </row>
    <row r="52" spans="2:17">
      <c r="Q52" s="241"/>
    </row>
    <row r="53" spans="2:17">
      <c r="Q53" s="241"/>
    </row>
    <row r="54" spans="2:17">
      <c r="Q54" s="241"/>
    </row>
    <row r="55" spans="2:17">
      <c r="Q55" s="241"/>
    </row>
  </sheetData>
  <printOptions horizontalCentered="1"/>
  <pageMargins left="0" right="0" top="1" bottom="0.5" header="0.5" footer="0"/>
  <pageSetup scale="70" orientation="landscape" r:id="rId1"/>
  <headerFooter alignWithMargins="0">
    <oddHeader xml:space="preserve">&amp;CKENTUCKY POWER COMPANY
TEST YEAR ENDED FEBRUARY 28, 2017&amp;RSECTION V
SCHEDULE 9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zoomScale="90" zoomScaleNormal="90" workbookViewId="0">
      <pane ySplit="7" topLeftCell="A10" activePane="bottomLeft" state="frozen"/>
      <selection activeCell="B3" sqref="B3"/>
      <selection pane="bottomLeft" activeCell="G26" sqref="G26"/>
    </sheetView>
  </sheetViews>
  <sheetFormatPr defaultColWidth="9.140625" defaultRowHeight="12.75"/>
  <cols>
    <col min="1" max="1" width="2.28515625" style="89" customWidth="1"/>
    <col min="2" max="2" width="6.140625" style="267" bestFit="1" customWidth="1"/>
    <col min="3" max="3" width="5.7109375" style="267" customWidth="1"/>
    <col min="4" max="4" width="29.42578125" style="89" bestFit="1" customWidth="1"/>
    <col min="5" max="5" width="2.28515625" style="89" customWidth="1"/>
    <col min="6" max="6" width="14.140625" style="89" customWidth="1"/>
    <col min="7" max="8" width="12.7109375" style="89" customWidth="1"/>
    <col min="9" max="9" width="2.28515625" style="89" customWidth="1"/>
    <col min="10" max="14" width="12.7109375" style="89" customWidth="1"/>
    <col min="15" max="17" width="8.7109375" style="89" customWidth="1"/>
    <col min="18" max="16384" width="9.140625" style="89"/>
  </cols>
  <sheetData>
    <row r="1" spans="2:17">
      <c r="I1" s="267"/>
      <c r="N1" s="102"/>
    </row>
    <row r="2" spans="2:17">
      <c r="N2" s="102"/>
    </row>
    <row r="3" spans="2:17">
      <c r="I3" s="103"/>
    </row>
    <row r="4" spans="2:17">
      <c r="I4" s="211" t="s">
        <v>854</v>
      </c>
    </row>
    <row r="5" spans="2:17">
      <c r="I5" s="233"/>
    </row>
    <row r="6" spans="2:17" ht="25.5">
      <c r="B6" s="105" t="s">
        <v>453</v>
      </c>
      <c r="C6" s="105"/>
      <c r="D6" s="234" t="s">
        <v>881</v>
      </c>
      <c r="F6" s="107" t="s">
        <v>749</v>
      </c>
      <c r="G6" s="105" t="s">
        <v>750</v>
      </c>
      <c r="H6" s="105" t="s">
        <v>751</v>
      </c>
      <c r="I6" s="105"/>
      <c r="J6" s="105" t="s">
        <v>752</v>
      </c>
      <c r="K6" s="105"/>
      <c r="L6" s="105"/>
      <c r="M6" s="105"/>
      <c r="N6" s="105"/>
      <c r="O6" s="105"/>
      <c r="P6" s="105"/>
    </row>
    <row r="7" spans="2:17">
      <c r="B7" s="105" t="s">
        <v>12</v>
      </c>
      <c r="C7" s="105"/>
      <c r="D7" s="109">
        <f>+B7-1</f>
        <v>-2</v>
      </c>
      <c r="F7" s="109">
        <f>+D7-1</f>
        <v>-3</v>
      </c>
      <c r="G7" s="109">
        <f>+F7-1</f>
        <v>-4</v>
      </c>
      <c r="H7" s="109">
        <f t="shared" ref="H7:N7" si="0">+G7-1</f>
        <v>-5</v>
      </c>
      <c r="I7" s="109"/>
      <c r="J7" s="109">
        <f>+H7-1</f>
        <v>-6</v>
      </c>
      <c r="K7" s="109">
        <f t="shared" si="0"/>
        <v>-7</v>
      </c>
      <c r="L7" s="109">
        <f t="shared" si="0"/>
        <v>-8</v>
      </c>
      <c r="M7" s="109">
        <f t="shared" si="0"/>
        <v>-9</v>
      </c>
      <c r="N7" s="109">
        <f t="shared" si="0"/>
        <v>-10</v>
      </c>
      <c r="O7" s="109"/>
      <c r="P7" s="105"/>
    </row>
    <row r="8" spans="2:17">
      <c r="B8" s="105"/>
      <c r="C8" s="105"/>
      <c r="D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5"/>
    </row>
    <row r="9" spans="2:17">
      <c r="B9" s="109"/>
      <c r="C9" s="235" t="s">
        <v>753</v>
      </c>
    </row>
    <row r="10" spans="2:17" ht="12.75" customHeight="1">
      <c r="B10" s="109">
        <v>1</v>
      </c>
      <c r="C10" s="109"/>
      <c r="D10" s="89" t="s">
        <v>770</v>
      </c>
      <c r="F10" s="236">
        <v>1349938.38</v>
      </c>
      <c r="G10" s="237">
        <f>'Olive Hill - Vanceburg'!R22</f>
        <v>3.4099999999999998E-2</v>
      </c>
      <c r="H10" s="236">
        <f>ROUND(F10*G10,0)</f>
        <v>46033</v>
      </c>
      <c r="I10" s="236"/>
      <c r="J10" s="236">
        <f>+F10+H10</f>
        <v>1395971.38</v>
      </c>
      <c r="K10" s="105"/>
      <c r="L10" s="105"/>
      <c r="M10" s="105"/>
      <c r="N10" s="105"/>
      <c r="O10" s="105"/>
      <c r="P10" s="105"/>
      <c r="Q10" s="233"/>
    </row>
    <row r="11" spans="2:17" ht="12.75" customHeight="1">
      <c r="B11" s="109"/>
      <c r="C11" s="109"/>
      <c r="F11" s="236"/>
      <c r="G11" s="237"/>
      <c r="H11" s="236"/>
      <c r="I11" s="236"/>
      <c r="J11" s="236"/>
      <c r="K11" s="105"/>
      <c r="L11" s="105"/>
      <c r="M11" s="105"/>
      <c r="N11" s="105"/>
      <c r="O11" s="105"/>
      <c r="P11" s="105"/>
      <c r="Q11" s="233"/>
    </row>
    <row r="12" spans="2:17" ht="30" customHeight="1">
      <c r="B12" s="109">
        <f>+B10+1</f>
        <v>2</v>
      </c>
      <c r="C12" s="109"/>
      <c r="D12" s="89" t="s">
        <v>754</v>
      </c>
      <c r="F12" s="10">
        <f>'Olive Hill - Vanceburg'!I24/1000</f>
        <v>58618.523000000001</v>
      </c>
      <c r="G12" s="237">
        <f>'Olive Hill - Vanceburg'!R22</f>
        <v>3.4099999999999998E-2</v>
      </c>
      <c r="H12" s="236">
        <f>ROUND(F12*G12,0)</f>
        <v>1999</v>
      </c>
      <c r="I12" s="236"/>
      <c r="J12" s="236">
        <f>+F12+H12</f>
        <v>60617.523000000001</v>
      </c>
      <c r="K12" s="105"/>
      <c r="L12" s="105"/>
      <c r="M12" s="105"/>
      <c r="N12" s="105"/>
      <c r="O12" s="105"/>
      <c r="P12" s="105"/>
      <c r="Q12" s="233"/>
    </row>
    <row r="13" spans="2:17" ht="11.45" customHeight="1">
      <c r="B13" s="109"/>
      <c r="C13" s="109"/>
      <c r="F13" s="10"/>
      <c r="G13" s="237"/>
      <c r="H13" s="236"/>
      <c r="I13" s="236"/>
      <c r="J13" s="236"/>
      <c r="K13" s="105"/>
      <c r="L13" s="105"/>
      <c r="M13" s="105"/>
      <c r="N13" s="105"/>
      <c r="O13" s="105"/>
      <c r="P13" s="105"/>
      <c r="Q13" s="233"/>
    </row>
    <row r="14" spans="2:17" ht="12.75" customHeight="1">
      <c r="B14" s="109"/>
      <c r="C14" s="235" t="s">
        <v>755</v>
      </c>
      <c r="F14" s="10"/>
      <c r="G14" s="112"/>
      <c r="H14" s="10"/>
      <c r="I14" s="10"/>
      <c r="J14" s="10"/>
      <c r="K14" s="232"/>
      <c r="L14" s="232"/>
      <c r="M14" s="232"/>
      <c r="N14" s="232"/>
      <c r="O14" s="232"/>
      <c r="P14" s="232"/>
    </row>
    <row r="15" spans="2:17" ht="30" customHeight="1">
      <c r="B15" s="109">
        <f>+B12+1</f>
        <v>3</v>
      </c>
      <c r="C15" s="109"/>
      <c r="D15" s="89" t="s">
        <v>756</v>
      </c>
      <c r="F15" s="10">
        <f>'Olive Hill - Vanceburg'!F24/1000</f>
        <v>23064.120999999999</v>
      </c>
      <c r="G15" s="237">
        <f>'Olive Hill - Vanceburg'!R24</f>
        <v>5.552E-2</v>
      </c>
      <c r="H15" s="236">
        <f>ROUND(F15*G15,0)</f>
        <v>1281</v>
      </c>
      <c r="I15" s="236"/>
      <c r="J15" s="236">
        <f>+F15+H15</f>
        <v>24345.120999999999</v>
      </c>
      <c r="K15" s="232"/>
      <c r="L15" s="232"/>
      <c r="M15" s="232"/>
      <c r="N15" s="232"/>
      <c r="O15" s="232"/>
      <c r="P15" s="232"/>
    </row>
    <row r="16" spans="2:17" ht="12.75" customHeight="1">
      <c r="B16" s="109"/>
      <c r="C16" s="109"/>
      <c r="F16" s="232"/>
      <c r="G16" s="232"/>
      <c r="H16" s="38"/>
      <c r="I16" s="38"/>
      <c r="J16" s="38"/>
      <c r="K16" s="232"/>
      <c r="L16" s="232"/>
      <c r="M16" s="232"/>
      <c r="N16" s="232"/>
      <c r="O16" s="232"/>
      <c r="P16" s="232"/>
    </row>
    <row r="17" spans="2:16" ht="12.75" customHeight="1">
      <c r="B17" s="109"/>
      <c r="C17" s="109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</row>
    <row r="18" spans="2:16" ht="39" customHeight="1">
      <c r="B18" s="109"/>
      <c r="C18" s="109"/>
      <c r="F18" s="105" t="s">
        <v>757</v>
      </c>
      <c r="G18" s="107" t="s">
        <v>758</v>
      </c>
      <c r="H18" s="105" t="s">
        <v>759</v>
      </c>
      <c r="I18" s="105"/>
      <c r="J18" s="105" t="s">
        <v>760</v>
      </c>
      <c r="K18" s="105" t="s">
        <v>761</v>
      </c>
      <c r="L18" s="105" t="s">
        <v>904</v>
      </c>
      <c r="M18" s="105" t="s">
        <v>898</v>
      </c>
      <c r="N18" s="105" t="s">
        <v>762</v>
      </c>
      <c r="O18" s="232"/>
      <c r="P18" s="232"/>
    </row>
    <row r="19" spans="2:16" ht="12.75" customHeight="1">
      <c r="B19" s="109"/>
      <c r="C19" s="109"/>
      <c r="F19" s="109">
        <f>+F7</f>
        <v>-3</v>
      </c>
      <c r="G19" s="109">
        <f>+G7</f>
        <v>-4</v>
      </c>
      <c r="H19" s="109">
        <f>+H7</f>
        <v>-5</v>
      </c>
      <c r="I19" s="109"/>
      <c r="J19" s="109">
        <f>+J7</f>
        <v>-6</v>
      </c>
      <c r="K19" s="109">
        <f>+K7</f>
        <v>-7</v>
      </c>
      <c r="L19" s="109">
        <f>+L7</f>
        <v>-8</v>
      </c>
      <c r="M19" s="109">
        <f>+M7</f>
        <v>-9</v>
      </c>
      <c r="N19" s="109">
        <f>+N7</f>
        <v>-10</v>
      </c>
      <c r="O19" s="232"/>
      <c r="P19" s="232"/>
    </row>
    <row r="20" spans="2:16" ht="12.75" customHeight="1">
      <c r="B20" s="109"/>
      <c r="C20" s="109"/>
      <c r="F20" s="238"/>
      <c r="G20" s="105"/>
      <c r="H20" s="105"/>
      <c r="I20" s="105"/>
      <c r="J20" s="105"/>
      <c r="K20" s="105"/>
      <c r="L20" s="105"/>
      <c r="M20" s="105"/>
      <c r="N20" s="105"/>
      <c r="O20" s="232"/>
      <c r="P20" s="232"/>
    </row>
    <row r="21" spans="2:16" ht="12.75" customHeight="1">
      <c r="B21" s="109"/>
      <c r="C21" s="239" t="s">
        <v>763</v>
      </c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</row>
    <row r="22" spans="2:16" ht="12.75" customHeight="1">
      <c r="B22" s="109">
        <f>+B15+1</f>
        <v>4</v>
      </c>
      <c r="C22" s="109"/>
      <c r="D22" s="89" t="s">
        <v>764</v>
      </c>
      <c r="F22" s="38">
        <v>4015884</v>
      </c>
      <c r="G22" s="38">
        <v>0</v>
      </c>
      <c r="H22" s="38">
        <f>+F22-G22</f>
        <v>4015884</v>
      </c>
      <c r="I22" s="38"/>
      <c r="J22" s="232"/>
      <c r="K22" s="232"/>
      <c r="L22" s="232"/>
      <c r="M22" s="232"/>
      <c r="N22" s="232"/>
      <c r="O22" s="232"/>
      <c r="P22" s="232"/>
    </row>
    <row r="23" spans="2:16" ht="12.75" customHeight="1">
      <c r="B23" s="109">
        <f>+B22+1</f>
        <v>5</v>
      </c>
      <c r="C23" s="109"/>
      <c r="D23" s="89" t="s">
        <v>765</v>
      </c>
      <c r="F23" s="38">
        <v>3498858</v>
      </c>
      <c r="G23" s="38">
        <v>0</v>
      </c>
      <c r="H23" s="38">
        <f>+F23-G23</f>
        <v>3498858</v>
      </c>
      <c r="I23" s="38"/>
      <c r="J23" s="232"/>
      <c r="K23" s="232"/>
      <c r="L23" s="232"/>
      <c r="M23" s="232"/>
      <c r="N23" s="232"/>
      <c r="O23" s="232"/>
      <c r="P23" s="232"/>
    </row>
    <row r="24" spans="2:16" ht="12.75" customHeight="1">
      <c r="B24" s="109">
        <f>+B23+1</f>
        <v>6</v>
      </c>
      <c r="C24" s="109"/>
      <c r="D24" s="89" t="s">
        <v>766</v>
      </c>
      <c r="F24" s="38">
        <v>0</v>
      </c>
      <c r="G24" s="38">
        <v>0</v>
      </c>
      <c r="H24" s="38">
        <f>+F24-G24</f>
        <v>0</v>
      </c>
      <c r="I24" s="38"/>
      <c r="J24" s="232"/>
      <c r="K24" s="232"/>
      <c r="L24" s="232"/>
      <c r="M24" s="232"/>
      <c r="N24" s="232"/>
      <c r="O24" s="232"/>
      <c r="P24" s="232"/>
    </row>
    <row r="25" spans="2:16" ht="12.75" customHeight="1">
      <c r="B25" s="109"/>
      <c r="C25" s="109"/>
      <c r="F25" s="112" t="s">
        <v>732</v>
      </c>
      <c r="G25" s="112" t="s">
        <v>732</v>
      </c>
      <c r="H25" s="112" t="s">
        <v>732</v>
      </c>
      <c r="I25" s="112"/>
      <c r="J25" s="112"/>
      <c r="K25" s="112"/>
      <c r="L25" s="112"/>
      <c r="M25" s="112"/>
      <c r="N25" s="112"/>
      <c r="O25" s="112"/>
      <c r="P25" s="232"/>
    </row>
    <row r="26" spans="2:16" ht="12.75" customHeight="1">
      <c r="B26" s="109">
        <f>+B24+1</f>
        <v>7</v>
      </c>
      <c r="C26" s="109"/>
      <c r="D26" s="267" t="s">
        <v>767</v>
      </c>
      <c r="F26" s="38">
        <f>SUM(F22:F25)</f>
        <v>7514742</v>
      </c>
      <c r="G26" s="38">
        <f>SUM(G22:G25)</f>
        <v>0</v>
      </c>
      <c r="H26" s="38">
        <f>SUM(H22:H25)</f>
        <v>7514742</v>
      </c>
      <c r="I26" s="38"/>
      <c r="J26" s="38"/>
      <c r="K26" s="38"/>
      <c r="L26" s="38"/>
      <c r="M26" s="38"/>
      <c r="N26" s="38"/>
      <c r="O26" s="38"/>
      <c r="P26" s="232"/>
    </row>
    <row r="27" spans="2:16" ht="12.75" customHeight="1">
      <c r="B27" s="109"/>
      <c r="C27" s="109"/>
      <c r="F27" s="112" t="s">
        <v>732</v>
      </c>
      <c r="G27" s="112" t="s">
        <v>732</v>
      </c>
      <c r="H27" s="112" t="s">
        <v>732</v>
      </c>
      <c r="I27" s="112"/>
      <c r="J27" s="112"/>
      <c r="K27" s="112"/>
      <c r="L27" s="112"/>
      <c r="M27" s="112"/>
      <c r="N27" s="112"/>
      <c r="O27" s="38"/>
      <c r="P27" s="232"/>
    </row>
    <row r="28" spans="2:16" ht="12.75" customHeight="1">
      <c r="B28" s="109"/>
      <c r="C28" s="109"/>
      <c r="F28" s="250"/>
      <c r="G28" s="38"/>
      <c r="H28" s="38"/>
      <c r="I28" s="38"/>
      <c r="J28" s="38"/>
      <c r="K28" s="38"/>
      <c r="L28" s="38"/>
      <c r="M28" s="38"/>
      <c r="N28" s="38"/>
      <c r="O28" s="38"/>
      <c r="P28" s="232"/>
    </row>
    <row r="29" spans="2:16" ht="12.75" customHeight="1">
      <c r="B29" s="109"/>
      <c r="C29" s="239" t="s">
        <v>768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2:16" ht="12.75" customHeight="1">
      <c r="B30" s="109">
        <f>+B26+1</f>
        <v>8</v>
      </c>
      <c r="C30" s="109"/>
      <c r="D30" s="89" t="s">
        <v>769</v>
      </c>
      <c r="F30" s="38">
        <v>5639148</v>
      </c>
      <c r="G30" s="38">
        <v>0</v>
      </c>
      <c r="H30" s="38">
        <f>+F30-G30</f>
        <v>5639148</v>
      </c>
      <c r="I30" s="38"/>
      <c r="J30" s="38">
        <v>0</v>
      </c>
      <c r="K30" s="38">
        <v>0</v>
      </c>
      <c r="L30" s="38">
        <v>0</v>
      </c>
      <c r="M30" s="38">
        <f>+J30+K30+L30</f>
        <v>0</v>
      </c>
      <c r="N30" s="38">
        <f>+H30-M30</f>
        <v>5639148</v>
      </c>
      <c r="O30" s="232"/>
      <c r="P30" s="232"/>
    </row>
    <row r="31" spans="2:16" ht="12.75" customHeight="1">
      <c r="B31" s="109">
        <f>+B30+1</f>
        <v>9</v>
      </c>
      <c r="C31" s="109"/>
      <c r="D31" s="89" t="s">
        <v>905</v>
      </c>
      <c r="F31" s="38">
        <v>-18478</v>
      </c>
      <c r="G31" s="38">
        <v>0</v>
      </c>
      <c r="H31" s="38">
        <f t="shared" ref="H31:H38" si="1">+F31-G31</f>
        <v>-18478</v>
      </c>
      <c r="I31" s="38"/>
      <c r="J31" s="38">
        <v>0</v>
      </c>
      <c r="K31" s="38">
        <v>0</v>
      </c>
      <c r="L31" s="38">
        <v>0</v>
      </c>
      <c r="M31" s="38">
        <f t="shared" ref="M31:M35" si="2">+J31+K31+L31</f>
        <v>0</v>
      </c>
      <c r="N31" s="38">
        <f t="shared" ref="N31:N35" si="3">+H31-M31</f>
        <v>-18478</v>
      </c>
      <c r="O31" s="38"/>
      <c r="P31" s="232"/>
    </row>
    <row r="32" spans="2:16" ht="12.75" customHeight="1">
      <c r="B32" s="109"/>
      <c r="C32" s="109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232"/>
    </row>
    <row r="33" spans="2:20" ht="12.75" customHeight="1">
      <c r="B33" s="109">
        <f>+B31+1</f>
        <v>10</v>
      </c>
      <c r="C33" s="109"/>
      <c r="D33" s="89" t="s">
        <v>770</v>
      </c>
      <c r="F33" s="38">
        <f>+F10</f>
        <v>1349938.38</v>
      </c>
      <c r="G33" s="38">
        <f>+F10</f>
        <v>1349938.38</v>
      </c>
      <c r="H33" s="38">
        <f t="shared" si="1"/>
        <v>0</v>
      </c>
      <c r="I33" s="38"/>
      <c r="J33" s="38">
        <v>0</v>
      </c>
      <c r="K33" s="38">
        <v>0</v>
      </c>
      <c r="L33" s="38">
        <v>0</v>
      </c>
      <c r="M33" s="38">
        <f t="shared" si="2"/>
        <v>0</v>
      </c>
      <c r="N33" s="38">
        <f t="shared" si="3"/>
        <v>0</v>
      </c>
      <c r="O33" s="232"/>
      <c r="P33" s="232"/>
    </row>
    <row r="34" spans="2:20" ht="30" customHeight="1">
      <c r="B34" s="109">
        <f>+B33+1</f>
        <v>11</v>
      </c>
      <c r="C34" s="109"/>
      <c r="D34" s="240" t="s">
        <v>771</v>
      </c>
      <c r="F34" s="38">
        <f>+F15</f>
        <v>23064.120999999999</v>
      </c>
      <c r="G34" s="38">
        <v>0</v>
      </c>
      <c r="H34" s="38">
        <f>+F34-G34</f>
        <v>23064.120999999999</v>
      </c>
      <c r="I34" s="38"/>
      <c r="J34" s="38">
        <f>+H34</f>
        <v>23064.120999999999</v>
      </c>
      <c r="K34" s="38">
        <v>0</v>
      </c>
      <c r="L34" s="38">
        <v>0</v>
      </c>
      <c r="M34" s="38">
        <f>+J34+K34+L34</f>
        <v>23064.120999999999</v>
      </c>
      <c r="N34" s="38">
        <f>+H34-M34</f>
        <v>0</v>
      </c>
      <c r="O34" s="232"/>
      <c r="P34" s="232"/>
    </row>
    <row r="35" spans="2:20" ht="30" customHeight="1">
      <c r="B35" s="109">
        <f>+B34+1</f>
        <v>12</v>
      </c>
      <c r="C35" s="109"/>
      <c r="D35" s="240" t="s">
        <v>772</v>
      </c>
      <c r="F35" s="38">
        <f>+F12</f>
        <v>58618.523000000001</v>
      </c>
      <c r="G35" s="38">
        <v>0</v>
      </c>
      <c r="H35" s="38">
        <f t="shared" si="1"/>
        <v>58618.523000000001</v>
      </c>
      <c r="I35" s="38"/>
      <c r="J35" s="38">
        <v>0</v>
      </c>
      <c r="K35" s="38">
        <f>+H35</f>
        <v>58618.523000000001</v>
      </c>
      <c r="L35" s="38">
        <v>0</v>
      </c>
      <c r="M35" s="38">
        <f t="shared" si="2"/>
        <v>58618.523000000001</v>
      </c>
      <c r="N35" s="38">
        <f t="shared" si="3"/>
        <v>0</v>
      </c>
      <c r="O35" s="232"/>
      <c r="P35" s="232"/>
    </row>
    <row r="36" spans="2:20" ht="25.5">
      <c r="B36" s="109">
        <f>+B35+1</f>
        <v>13</v>
      </c>
      <c r="C36" s="109"/>
      <c r="D36" s="105" t="s">
        <v>773</v>
      </c>
      <c r="F36" s="10">
        <f>SUM(F33:F35)</f>
        <v>1431621.024</v>
      </c>
      <c r="G36" s="10">
        <f>SUM(G33:G35)</f>
        <v>1349938.38</v>
      </c>
      <c r="H36" s="10">
        <f t="shared" ref="H36:N36" si="4">SUM(H33:H35)</f>
        <v>81682.644</v>
      </c>
      <c r="I36" s="10"/>
      <c r="J36" s="10">
        <f t="shared" si="4"/>
        <v>23064.120999999999</v>
      </c>
      <c r="K36" s="10">
        <f t="shared" si="4"/>
        <v>58618.523000000001</v>
      </c>
      <c r="L36" s="10">
        <f t="shared" si="4"/>
        <v>0</v>
      </c>
      <c r="M36" s="10">
        <f>SUM(M33:M35)</f>
        <v>81682.644</v>
      </c>
      <c r="N36" s="10">
        <f t="shared" si="4"/>
        <v>0</v>
      </c>
      <c r="O36" s="112"/>
      <c r="P36" s="232"/>
    </row>
    <row r="37" spans="2:20">
      <c r="B37" s="109"/>
      <c r="C37" s="109"/>
      <c r="D37" s="267"/>
      <c r="F37" s="10"/>
      <c r="G37" s="10"/>
      <c r="H37" s="10"/>
      <c r="I37" s="10"/>
      <c r="J37" s="10"/>
      <c r="K37" s="10"/>
      <c r="L37" s="10"/>
      <c r="M37" s="10"/>
      <c r="N37" s="10"/>
      <c r="O37" s="112"/>
      <c r="P37" s="232"/>
    </row>
    <row r="38" spans="2:20">
      <c r="B38" s="109">
        <f>+B36+1</f>
        <v>14</v>
      </c>
      <c r="C38" s="109"/>
      <c r="D38" s="89" t="s">
        <v>774</v>
      </c>
      <c r="F38" s="38">
        <v>462451</v>
      </c>
      <c r="G38" s="38">
        <f>+H10</f>
        <v>46033</v>
      </c>
      <c r="H38" s="38">
        <f t="shared" si="1"/>
        <v>416418</v>
      </c>
      <c r="I38" s="38"/>
      <c r="J38" s="38">
        <f>+H15</f>
        <v>1281</v>
      </c>
      <c r="K38" s="38">
        <f>+H12</f>
        <v>1999</v>
      </c>
      <c r="L38" s="38">
        <v>0</v>
      </c>
      <c r="M38" s="38">
        <f>+J38+K38+L38</f>
        <v>3280</v>
      </c>
      <c r="N38" s="38">
        <f>+H38-M38</f>
        <v>413138</v>
      </c>
    </row>
    <row r="39" spans="2:20">
      <c r="B39" s="109"/>
      <c r="C39" s="109"/>
      <c r="F39" s="112" t="s">
        <v>732</v>
      </c>
      <c r="G39" s="112" t="s">
        <v>732</v>
      </c>
      <c r="H39" s="112" t="s">
        <v>732</v>
      </c>
      <c r="I39" s="112"/>
      <c r="J39" s="112" t="s">
        <v>732</v>
      </c>
      <c r="K39" s="112" t="s">
        <v>732</v>
      </c>
      <c r="L39" s="112" t="s">
        <v>732</v>
      </c>
      <c r="M39" s="112" t="s">
        <v>732</v>
      </c>
      <c r="N39" s="112" t="s">
        <v>732</v>
      </c>
      <c r="P39" s="241"/>
    </row>
    <row r="40" spans="2:20" ht="25.5" customHeight="1">
      <c r="B40" s="109">
        <f>+B38+1</f>
        <v>15</v>
      </c>
      <c r="C40" s="109"/>
      <c r="D40" s="105" t="s">
        <v>775</v>
      </c>
      <c r="F40" s="38">
        <f>+F30+F31+F36+F38</f>
        <v>7514742.0240000002</v>
      </c>
      <c r="G40" s="38">
        <f>+G30+G31+G36+G38</f>
        <v>1395971.38</v>
      </c>
      <c r="H40" s="38">
        <f>+H30+H31+H36+H38</f>
        <v>6118770.6440000003</v>
      </c>
      <c r="I40" s="38"/>
      <c r="J40" s="38">
        <f>+J30+J31+J36+J38</f>
        <v>24345.120999999999</v>
      </c>
      <c r="K40" s="38">
        <f>+K36+K38</f>
        <v>60617.523000000001</v>
      </c>
      <c r="L40" s="38">
        <f>+L30+L31+L35+L36</f>
        <v>0</v>
      </c>
      <c r="M40" s="38">
        <f>+M30+M31+M36+M38</f>
        <v>84962.644</v>
      </c>
      <c r="N40" s="38">
        <f>+N30+N31+N36+N38</f>
        <v>6033808</v>
      </c>
      <c r="O40" s="38"/>
      <c r="P40" s="241"/>
      <c r="Q40" s="38"/>
      <c r="R40" s="38"/>
      <c r="S40" s="38"/>
      <c r="T40" s="38"/>
    </row>
    <row r="41" spans="2:20">
      <c r="B41" s="109"/>
      <c r="C41" s="109"/>
      <c r="F41" s="112" t="s">
        <v>732</v>
      </c>
      <c r="G41" s="112" t="s">
        <v>732</v>
      </c>
      <c r="H41" s="112" t="s">
        <v>732</v>
      </c>
      <c r="I41" s="112"/>
      <c r="J41" s="112" t="s">
        <v>732</v>
      </c>
      <c r="K41" s="112" t="s">
        <v>732</v>
      </c>
      <c r="L41" s="112" t="s">
        <v>732</v>
      </c>
      <c r="M41" s="112" t="s">
        <v>732</v>
      </c>
      <c r="N41" s="112" t="s">
        <v>732</v>
      </c>
      <c r="O41" s="232"/>
      <c r="P41" s="241"/>
    </row>
    <row r="42" spans="2:20">
      <c r="B42" s="109">
        <f>+B40+1</f>
        <v>16</v>
      </c>
      <c r="C42" s="109"/>
      <c r="D42" s="110" t="s">
        <v>776</v>
      </c>
      <c r="F42" s="38"/>
      <c r="G42" s="38"/>
      <c r="H42" s="232">
        <v>1</v>
      </c>
      <c r="I42" s="232"/>
      <c r="J42" s="232"/>
      <c r="K42" s="232"/>
      <c r="L42" s="232"/>
      <c r="M42" s="242">
        <f>ROUND(M40/H40,3)</f>
        <v>1.4E-2</v>
      </c>
      <c r="N42" s="242">
        <f>+H42-M42</f>
        <v>0.98599999999999999</v>
      </c>
      <c r="P42" s="241"/>
    </row>
    <row r="43" spans="2:20">
      <c r="B43" s="109"/>
      <c r="C43" s="109"/>
      <c r="F43" s="112"/>
      <c r="G43" s="112"/>
      <c r="H43" s="112" t="s">
        <v>598</v>
      </c>
      <c r="I43" s="112"/>
      <c r="J43" s="112" t="s">
        <v>598</v>
      </c>
      <c r="K43" s="112" t="s">
        <v>598</v>
      </c>
      <c r="L43" s="112" t="s">
        <v>598</v>
      </c>
      <c r="M43" s="112" t="s">
        <v>598</v>
      </c>
      <c r="N43" s="112" t="s">
        <v>598</v>
      </c>
      <c r="P43" s="241"/>
    </row>
    <row r="44" spans="2:20">
      <c r="B44" s="109"/>
      <c r="C44" s="109"/>
      <c r="D44" s="110"/>
      <c r="F44" s="38"/>
      <c r="G44" s="38"/>
      <c r="H44" s="109"/>
      <c r="I44" s="109"/>
      <c r="J44" s="38"/>
      <c r="K44" s="109"/>
      <c r="L44" s="38"/>
      <c r="M44" s="38"/>
      <c r="N44" s="38"/>
      <c r="P44" s="241"/>
    </row>
    <row r="45" spans="2:20" ht="59.25" customHeight="1">
      <c r="B45" s="109"/>
      <c r="C45" s="109"/>
      <c r="F45" s="38"/>
      <c r="G45" s="38"/>
      <c r="H45" s="38"/>
      <c r="I45" s="38"/>
      <c r="J45" s="38"/>
      <c r="K45" s="38"/>
      <c r="L45" s="38"/>
      <c r="M45" s="38"/>
      <c r="N45" s="38"/>
    </row>
    <row r="46" spans="2:20">
      <c r="B46" s="109"/>
      <c r="C46" s="109"/>
      <c r="F46" s="38"/>
      <c r="G46" s="38"/>
      <c r="H46" s="38"/>
      <c r="I46" s="38"/>
      <c r="J46" s="38"/>
      <c r="K46" s="38"/>
      <c r="L46" s="38"/>
      <c r="M46" s="38"/>
      <c r="N46" s="38"/>
    </row>
    <row r="47" spans="2:20">
      <c r="B47" s="109"/>
      <c r="C47" s="109"/>
      <c r="F47" s="38"/>
    </row>
    <row r="48" spans="2:20">
      <c r="F48" s="38"/>
    </row>
  </sheetData>
  <printOptions horizontalCentered="1"/>
  <pageMargins left="0" right="0" top="0.75" bottom="0" header="0.5" footer="0"/>
  <pageSetup scale="74" orientation="landscape" r:id="rId1"/>
  <headerFooter alignWithMargins="0">
    <oddHeader xml:space="preserve">&amp;CKENTUCKY POWER COMPANY
TEST YEAR ENDED FEBRUARY 28, 2017&amp;RSECTION V
SCHEDULE 10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workbookViewId="0">
      <selection activeCell="K15" sqref="K15"/>
    </sheetView>
  </sheetViews>
  <sheetFormatPr defaultRowHeight="12.75"/>
  <cols>
    <col min="1" max="1" width="5.140625" bestFit="1" customWidth="1"/>
    <col min="2" max="2" width="2.140625" customWidth="1"/>
    <col min="3" max="3" width="25.140625" customWidth="1"/>
    <col min="4" max="4" width="2.140625" customWidth="1"/>
    <col min="5" max="5" width="10.42578125" bestFit="1" customWidth="1"/>
    <col min="6" max="6" width="2.140625" customWidth="1"/>
    <col min="7" max="7" width="10" customWidth="1"/>
    <col min="8" max="8" width="2.140625" customWidth="1"/>
    <col min="9" max="9" width="14.140625" bestFit="1" customWidth="1"/>
    <col min="10" max="10" width="2.140625" customWidth="1"/>
    <col min="11" max="11" width="14" bestFit="1" customWidth="1"/>
    <col min="13" max="13" width="15" bestFit="1" customWidth="1"/>
    <col min="16" max="16" width="12.5703125" customWidth="1"/>
  </cols>
  <sheetData>
    <row r="1" spans="1:13">
      <c r="A1" s="34"/>
      <c r="B1" s="3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430"/>
      <c r="B2" s="431"/>
      <c r="C2" s="431"/>
      <c r="D2" s="431"/>
      <c r="E2" s="431"/>
      <c r="F2" s="431"/>
      <c r="G2" s="431"/>
      <c r="H2" s="431"/>
      <c r="I2" s="431"/>
      <c r="J2" s="26"/>
      <c r="K2" s="26"/>
      <c r="L2" s="26"/>
      <c r="M2" s="26"/>
    </row>
    <row r="3" spans="1:13">
      <c r="A3" s="432" t="s">
        <v>855</v>
      </c>
      <c r="B3" s="432"/>
      <c r="C3" s="432"/>
      <c r="D3" s="432"/>
      <c r="E3" s="432"/>
      <c r="F3" s="432"/>
      <c r="G3" s="432"/>
      <c r="H3" s="432"/>
      <c r="I3" s="432"/>
      <c r="J3" s="26"/>
      <c r="K3" s="26"/>
      <c r="L3" s="26"/>
      <c r="M3" s="26"/>
    </row>
    <row r="5" spans="1:13">
      <c r="A5" s="430"/>
      <c r="B5" s="433"/>
      <c r="C5" s="433"/>
      <c r="D5" s="433"/>
      <c r="E5" s="433"/>
      <c r="F5" s="433"/>
      <c r="G5" s="433"/>
      <c r="H5" s="433"/>
      <c r="I5" s="433"/>
      <c r="J5" s="26"/>
      <c r="K5" s="26"/>
      <c r="L5" s="26"/>
      <c r="M5" s="26"/>
    </row>
    <row r="7" spans="1:13" ht="25.5">
      <c r="A7" s="32" t="s">
        <v>335</v>
      </c>
      <c r="B7" s="26"/>
      <c r="C7" s="36" t="s">
        <v>336</v>
      </c>
      <c r="D7" s="26"/>
      <c r="E7" s="36" t="s">
        <v>337</v>
      </c>
      <c r="F7" s="26"/>
      <c r="G7" s="36" t="s">
        <v>338</v>
      </c>
      <c r="H7" s="26"/>
      <c r="I7" s="36" t="s">
        <v>339</v>
      </c>
      <c r="J7" s="26"/>
      <c r="K7" s="26"/>
      <c r="L7" s="26"/>
      <c r="M7" s="26"/>
    </row>
    <row r="8" spans="1:13">
      <c r="A8" s="33">
        <v>-1</v>
      </c>
      <c r="B8" s="33"/>
      <c r="C8" s="37">
        <v>-2</v>
      </c>
      <c r="D8" s="33"/>
      <c r="E8" s="37">
        <v>-3</v>
      </c>
      <c r="F8" s="33"/>
      <c r="G8" s="37">
        <v>-4</v>
      </c>
      <c r="H8" s="33"/>
      <c r="I8" s="37">
        <v>-5</v>
      </c>
      <c r="J8" s="33"/>
      <c r="K8" s="33"/>
      <c r="L8" s="33"/>
      <c r="M8" s="33"/>
    </row>
    <row r="9" spans="1:13">
      <c r="A9" s="26"/>
      <c r="B9" s="26"/>
      <c r="C9" s="28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>
      <c r="A10" s="29">
        <v>1</v>
      </c>
      <c r="B10" s="26"/>
      <c r="C10" s="257" t="s">
        <v>340</v>
      </c>
      <c r="D10" s="256"/>
      <c r="E10" s="256" t="s">
        <v>341</v>
      </c>
      <c r="F10" s="256"/>
      <c r="G10" s="69">
        <f>'Sch 9'!J47</f>
        <v>0.98499999999999999</v>
      </c>
      <c r="H10" s="256"/>
      <c r="I10" s="258" t="s">
        <v>862</v>
      </c>
      <c r="J10" s="256"/>
      <c r="K10" s="256"/>
      <c r="L10" s="26"/>
      <c r="M10" s="26"/>
    </row>
    <row r="11" spans="1:13">
      <c r="A11" s="29"/>
      <c r="B11" s="26"/>
      <c r="C11" s="28"/>
      <c r="D11" s="26"/>
      <c r="E11" s="26"/>
      <c r="F11" s="26"/>
      <c r="G11" s="69"/>
      <c r="H11" s="26"/>
      <c r="I11" s="31"/>
      <c r="J11" s="26"/>
      <c r="K11" s="26"/>
      <c r="L11" s="26"/>
      <c r="M11" s="26"/>
    </row>
    <row r="12" spans="1:13">
      <c r="A12" s="29">
        <v>2</v>
      </c>
      <c r="B12" s="26"/>
      <c r="C12" s="28" t="s">
        <v>342</v>
      </c>
      <c r="D12" s="26"/>
      <c r="E12" s="26" t="s">
        <v>343</v>
      </c>
      <c r="F12" s="26"/>
      <c r="G12" s="69">
        <f>'Sch 9'!J47</f>
        <v>0.98499999999999999</v>
      </c>
      <c r="H12" s="26"/>
      <c r="I12" s="31" t="s">
        <v>862</v>
      </c>
      <c r="J12" s="26"/>
      <c r="K12" s="26"/>
      <c r="L12" s="26"/>
      <c r="M12" s="26"/>
    </row>
    <row r="13" spans="1:13">
      <c r="A13" s="29"/>
      <c r="B13" s="26"/>
      <c r="C13" s="28"/>
      <c r="D13" s="26"/>
      <c r="E13" s="26"/>
      <c r="F13" s="26"/>
      <c r="G13" s="69"/>
      <c r="H13" s="26"/>
      <c r="I13" s="31"/>
      <c r="J13" s="26"/>
      <c r="K13" s="26"/>
      <c r="L13" s="26"/>
      <c r="M13" s="26"/>
    </row>
    <row r="14" spans="1:13">
      <c r="A14" s="29">
        <v>3</v>
      </c>
      <c r="B14" s="26"/>
      <c r="C14" s="28" t="s">
        <v>154</v>
      </c>
      <c r="D14" s="26"/>
      <c r="E14" s="26" t="s">
        <v>344</v>
      </c>
      <c r="F14" s="26"/>
      <c r="G14" s="69">
        <f>'Sch 10'!N42</f>
        <v>0.98599999999999999</v>
      </c>
      <c r="H14" s="26"/>
      <c r="I14" s="31" t="s">
        <v>863</v>
      </c>
      <c r="J14" s="26"/>
      <c r="K14" s="26"/>
      <c r="L14" s="26"/>
      <c r="M14" s="26"/>
    </row>
    <row r="15" spans="1:13">
      <c r="A15" s="29"/>
      <c r="B15" s="26"/>
      <c r="C15" s="28"/>
      <c r="D15" s="26"/>
      <c r="E15" s="26"/>
      <c r="F15" s="26"/>
      <c r="G15" s="30"/>
      <c r="H15" s="26"/>
      <c r="I15" s="31"/>
      <c r="J15" s="26"/>
      <c r="K15" s="26"/>
      <c r="L15" s="26"/>
      <c r="M15" s="26"/>
    </row>
    <row r="16" spans="1:13">
      <c r="A16" s="29">
        <v>4</v>
      </c>
      <c r="B16" s="26"/>
      <c r="C16" s="28" t="s">
        <v>345</v>
      </c>
      <c r="D16" s="26"/>
      <c r="E16" s="26" t="s">
        <v>346</v>
      </c>
      <c r="F16" s="26"/>
      <c r="G16" s="30">
        <f>ROUND(('Sch 4'!E173)/('Sch 4'!C173),3)</f>
        <v>0.98499999999999999</v>
      </c>
      <c r="H16" s="26"/>
      <c r="I16" s="31" t="s">
        <v>866</v>
      </c>
      <c r="J16" s="26"/>
      <c r="K16" s="26"/>
      <c r="L16" s="26"/>
      <c r="M16" s="26"/>
    </row>
    <row r="17" spans="1:16">
      <c r="A17" s="29"/>
      <c r="B17" s="26"/>
      <c r="C17" s="28"/>
      <c r="D17" s="26"/>
      <c r="E17" s="26"/>
      <c r="F17" s="26"/>
      <c r="G17" s="30"/>
      <c r="H17" s="26"/>
      <c r="I17" s="26"/>
    </row>
    <row r="18" spans="1:16">
      <c r="A18" s="29">
        <v>5</v>
      </c>
      <c r="B18" s="26"/>
      <c r="C18" s="28" t="s">
        <v>347</v>
      </c>
      <c r="D18" s="26"/>
      <c r="E18" s="26" t="s">
        <v>348</v>
      </c>
      <c r="F18" s="26"/>
      <c r="G18" s="30">
        <f>ROUND(('Sch 4'!E175)/('Sch 4'!C175),3)</f>
        <v>0.999</v>
      </c>
      <c r="H18" s="26"/>
      <c r="I18" s="31" t="s">
        <v>867</v>
      </c>
    </row>
    <row r="19" spans="1:16">
      <c r="A19" s="29"/>
      <c r="B19" s="26"/>
      <c r="C19" s="28"/>
      <c r="D19" s="26"/>
      <c r="E19" s="26"/>
      <c r="F19" s="26"/>
      <c r="G19" s="30"/>
      <c r="H19" s="26"/>
      <c r="I19" s="26"/>
    </row>
    <row r="20" spans="1:16">
      <c r="A20" s="29">
        <v>6</v>
      </c>
      <c r="B20" s="26"/>
      <c r="C20" s="28" t="s">
        <v>349</v>
      </c>
      <c r="D20" s="26"/>
      <c r="E20" s="26" t="s">
        <v>350</v>
      </c>
      <c r="F20" s="26"/>
      <c r="G20" s="30">
        <f>ROUND(('Sch 4'!E177)/('Sch 4'!C177),3)</f>
        <v>0.99299999999999999</v>
      </c>
      <c r="H20" s="26"/>
      <c r="I20" s="31" t="s">
        <v>868</v>
      </c>
    </row>
    <row r="21" spans="1:16">
      <c r="A21" s="29"/>
      <c r="B21" s="26"/>
      <c r="C21" s="28"/>
      <c r="D21" s="26"/>
      <c r="E21" s="26"/>
      <c r="F21" s="26"/>
      <c r="G21" s="30"/>
      <c r="H21" s="26"/>
      <c r="I21" s="26"/>
    </row>
    <row r="22" spans="1:16">
      <c r="A22" s="29">
        <v>7</v>
      </c>
      <c r="B22" s="26"/>
      <c r="C22" s="28" t="s">
        <v>351</v>
      </c>
      <c r="D22" s="26"/>
      <c r="E22" s="26" t="s">
        <v>352</v>
      </c>
      <c r="F22" s="26"/>
      <c r="G22" s="69">
        <f>ROUND('Sch 4'!E181/'Sch 4'!C181,3)</f>
        <v>0.98499999999999999</v>
      </c>
      <c r="H22" s="26"/>
      <c r="I22" s="31" t="s">
        <v>1029</v>
      </c>
      <c r="K22" s="39"/>
      <c r="L22" s="70"/>
      <c r="M22" s="46"/>
    </row>
    <row r="23" spans="1:16">
      <c r="A23" s="29"/>
      <c r="B23" s="26"/>
      <c r="C23" s="28"/>
      <c r="D23" s="26"/>
      <c r="E23" s="26"/>
      <c r="F23" s="26"/>
      <c r="G23" s="30"/>
      <c r="H23" s="26"/>
      <c r="I23" s="26"/>
      <c r="M23" s="46"/>
    </row>
    <row r="24" spans="1:16">
      <c r="A24" s="29">
        <v>8</v>
      </c>
      <c r="B24" s="26"/>
      <c r="C24" s="28" t="s">
        <v>353</v>
      </c>
      <c r="D24" s="26"/>
      <c r="E24" s="27" t="s">
        <v>354</v>
      </c>
      <c r="F24" s="26"/>
      <c r="G24" s="69">
        <f>ROUND('Sch 4'!E179/'Sch 4'!C179,3)</f>
        <v>0.98499999999999999</v>
      </c>
      <c r="H24" s="26"/>
      <c r="I24" s="31" t="s">
        <v>869</v>
      </c>
      <c r="K24" s="80"/>
      <c r="M24" s="81"/>
    </row>
    <row r="25" spans="1:16">
      <c r="A25" s="29"/>
      <c r="B25" s="26"/>
      <c r="C25" s="28"/>
      <c r="D25" s="26"/>
      <c r="E25" s="26"/>
      <c r="F25" s="26"/>
      <c r="G25" s="30"/>
      <c r="H25" s="26"/>
      <c r="I25" s="26"/>
      <c r="M25" s="46"/>
    </row>
    <row r="26" spans="1:16">
      <c r="A26" s="29">
        <v>9</v>
      </c>
      <c r="B26" s="26"/>
      <c r="C26" s="257" t="s">
        <v>297</v>
      </c>
      <c r="D26" s="256"/>
      <c r="E26" s="256" t="s">
        <v>355</v>
      </c>
      <c r="F26" s="256"/>
      <c r="G26" s="69">
        <f>ROUND('Sch 4'!E45/'Sch 4'!C45,3)</f>
        <v>0.98299999999999998</v>
      </c>
      <c r="H26" s="256"/>
      <c r="I26" s="258" t="s">
        <v>870</v>
      </c>
      <c r="J26" s="95"/>
      <c r="K26" s="1"/>
      <c r="L26" s="74"/>
      <c r="M26" s="82"/>
      <c r="P26" s="39"/>
    </row>
    <row r="27" spans="1:16">
      <c r="A27" s="29"/>
      <c r="B27" s="26"/>
      <c r="C27" s="28"/>
      <c r="D27" s="26"/>
      <c r="E27" s="26"/>
      <c r="F27" s="26"/>
      <c r="G27" s="30"/>
      <c r="H27" s="26"/>
      <c r="I27" s="26"/>
      <c r="K27" s="1"/>
      <c r="L27" s="40"/>
      <c r="M27" s="82"/>
      <c r="P27" s="71"/>
    </row>
    <row r="28" spans="1:16">
      <c r="A28" s="29">
        <v>10</v>
      </c>
      <c r="B28" s="26"/>
      <c r="C28" s="28" t="s">
        <v>356</v>
      </c>
      <c r="D28" s="26"/>
      <c r="E28" s="26" t="s">
        <v>357</v>
      </c>
      <c r="F28" s="26"/>
      <c r="G28" s="69">
        <f>ROUND('Sch 4'!E439/'Sch 4'!C439,3)</f>
        <v>0.98899999999999999</v>
      </c>
      <c r="H28" s="26"/>
      <c r="I28" s="31" t="s">
        <v>865</v>
      </c>
      <c r="K28" s="1"/>
      <c r="L28" s="40"/>
      <c r="M28" s="83"/>
    </row>
    <row r="29" spans="1:16">
      <c r="A29" s="29"/>
      <c r="B29" s="26"/>
      <c r="C29" s="28"/>
      <c r="D29" s="26"/>
      <c r="E29" s="26"/>
      <c r="F29" s="26"/>
      <c r="G29" s="69"/>
      <c r="H29" s="26"/>
      <c r="I29" s="26"/>
      <c r="K29" s="73"/>
      <c r="L29" s="73"/>
      <c r="M29" s="83"/>
    </row>
    <row r="30" spans="1:16">
      <c r="A30" s="29">
        <v>11</v>
      </c>
      <c r="B30" s="26"/>
      <c r="C30" s="28" t="s">
        <v>358</v>
      </c>
      <c r="D30" s="26"/>
      <c r="E30" s="26" t="s">
        <v>359</v>
      </c>
      <c r="F30" s="26"/>
      <c r="G30" s="69">
        <f>ROUND('Sch 4'!E441/'Sch 4'!C441,3)</f>
        <v>0.99199999999999999</v>
      </c>
      <c r="H30" s="26"/>
      <c r="I30" s="31" t="s">
        <v>864</v>
      </c>
      <c r="K30" s="73"/>
      <c r="L30" s="73"/>
      <c r="M30" s="83"/>
    </row>
    <row r="31" spans="1:16">
      <c r="A31" s="29"/>
      <c r="B31" s="26"/>
      <c r="C31" s="28"/>
      <c r="D31" s="26"/>
      <c r="E31" s="26"/>
      <c r="F31" s="26"/>
      <c r="G31" s="30"/>
      <c r="H31" s="26"/>
      <c r="I31" s="26"/>
      <c r="K31" s="75"/>
      <c r="L31" s="73"/>
      <c r="M31" s="83"/>
    </row>
    <row r="32" spans="1:16">
      <c r="A32" s="29">
        <v>12</v>
      </c>
      <c r="B32" s="26"/>
      <c r="C32" s="28" t="s">
        <v>360</v>
      </c>
      <c r="D32" s="26"/>
      <c r="E32" s="26" t="s">
        <v>361</v>
      </c>
      <c r="F32" s="26"/>
      <c r="G32" s="68">
        <f>ROUND('Sch 4'!E303/'Sch 4'!C303,3)</f>
        <v>0.99199999999999999</v>
      </c>
      <c r="H32" s="26"/>
      <c r="I32" s="31" t="s">
        <v>1030</v>
      </c>
      <c r="K32" s="73"/>
      <c r="L32" s="73"/>
      <c r="M32" s="83"/>
    </row>
    <row r="33" spans="1:16">
      <c r="A33" s="29"/>
      <c r="B33" s="26"/>
      <c r="C33" s="28"/>
      <c r="D33" s="26"/>
      <c r="E33" s="26"/>
      <c r="F33" s="26"/>
      <c r="G33" s="46"/>
      <c r="H33" s="26"/>
      <c r="I33" s="26"/>
      <c r="K33" s="73"/>
      <c r="L33" s="73"/>
      <c r="M33" s="83"/>
    </row>
    <row r="34" spans="1:16" ht="12.75" customHeight="1">
      <c r="A34" s="29">
        <v>13</v>
      </c>
      <c r="B34" s="26"/>
      <c r="C34" s="28" t="s">
        <v>362</v>
      </c>
      <c r="D34" s="26"/>
      <c r="E34" s="28" t="s">
        <v>362</v>
      </c>
      <c r="F34" s="26"/>
      <c r="G34" s="46">
        <v>1</v>
      </c>
      <c r="H34" s="26"/>
      <c r="I34" s="31" t="s">
        <v>363</v>
      </c>
      <c r="K34" s="73"/>
      <c r="L34" s="73"/>
      <c r="M34" s="83"/>
    </row>
    <row r="35" spans="1:16">
      <c r="A35" s="29"/>
      <c r="B35" s="26"/>
      <c r="C35" s="28"/>
      <c r="D35" s="26"/>
      <c r="E35" s="26"/>
      <c r="F35" s="26"/>
      <c r="G35" s="30"/>
      <c r="H35" s="26"/>
      <c r="I35" s="31"/>
      <c r="K35" s="73"/>
      <c r="L35" s="73"/>
      <c r="M35" s="83"/>
      <c r="P35" s="71"/>
    </row>
    <row r="36" spans="1:16">
      <c r="A36" s="29">
        <f>A34+1</f>
        <v>14</v>
      </c>
      <c r="B36" s="26"/>
      <c r="C36" s="28" t="s">
        <v>710</v>
      </c>
      <c r="D36" s="26"/>
      <c r="E36" s="26" t="s">
        <v>711</v>
      </c>
      <c r="F36" s="26"/>
      <c r="G36" s="30">
        <f>168579/168581</f>
        <v>0.99998813626683913</v>
      </c>
      <c r="H36" s="26"/>
      <c r="I36" s="31" t="s">
        <v>363</v>
      </c>
      <c r="K36" s="73"/>
      <c r="L36" s="73"/>
      <c r="M36" s="83"/>
    </row>
    <row r="37" spans="1:16">
      <c r="A37" s="29"/>
      <c r="B37" s="26"/>
      <c r="C37" s="28"/>
      <c r="D37" s="26"/>
      <c r="E37" s="26"/>
      <c r="F37" s="26"/>
      <c r="G37" s="30"/>
      <c r="H37" s="26"/>
      <c r="I37" s="31"/>
      <c r="K37" s="73"/>
      <c r="L37" s="73"/>
      <c r="M37" s="73"/>
    </row>
    <row r="38" spans="1:16">
      <c r="A38" s="29">
        <v>15</v>
      </c>
      <c r="B38" s="26"/>
      <c r="C38" s="28" t="s">
        <v>971</v>
      </c>
      <c r="D38" s="26"/>
      <c r="E38" s="26" t="s">
        <v>971</v>
      </c>
      <c r="F38" s="26"/>
      <c r="G38" s="30">
        <f>ROUND(('Sch 6'!K55*'Allocation Factors'!G10)+('Sch 6'!M55*'Allocation Factors'!G14),3)</f>
        <v>0.98599999999999999</v>
      </c>
      <c r="H38" s="26"/>
      <c r="I38" s="31" t="s">
        <v>972</v>
      </c>
      <c r="K38" s="73"/>
      <c r="L38" s="73"/>
      <c r="M38" s="73"/>
    </row>
    <row r="39" spans="1:16">
      <c r="A39" s="29"/>
      <c r="B39" s="26"/>
      <c r="C39" s="28"/>
      <c r="D39" s="26"/>
      <c r="E39" s="26"/>
      <c r="F39" s="26"/>
      <c r="G39" s="30"/>
      <c r="H39" s="26"/>
      <c r="I39" s="31"/>
      <c r="K39" s="40"/>
      <c r="L39" s="73"/>
      <c r="M39" s="40"/>
    </row>
    <row r="40" spans="1:16">
      <c r="A40" s="29"/>
      <c r="B40" s="26"/>
      <c r="C40" s="28"/>
      <c r="D40" s="26"/>
      <c r="E40" s="26"/>
      <c r="F40" s="26"/>
      <c r="G40" s="30"/>
      <c r="H40" s="26"/>
      <c r="I40" s="31"/>
      <c r="K40" s="40"/>
      <c r="L40" s="73"/>
      <c r="M40" s="40"/>
    </row>
    <row r="41" spans="1:16">
      <c r="A41" s="29"/>
      <c r="B41" s="26"/>
      <c r="C41" s="28"/>
      <c r="D41" s="26"/>
      <c r="E41" s="26"/>
      <c r="F41" s="26"/>
      <c r="G41" s="30"/>
      <c r="H41" s="45"/>
      <c r="I41" s="31"/>
      <c r="J41" s="72"/>
      <c r="K41" s="40"/>
      <c r="L41" s="73"/>
      <c r="M41" s="40"/>
    </row>
    <row r="42" spans="1:16">
      <c r="A42" s="29"/>
      <c r="B42" s="26"/>
      <c r="C42" s="28"/>
      <c r="D42" s="26"/>
      <c r="E42" s="26"/>
      <c r="F42" s="26"/>
      <c r="G42" s="30"/>
      <c r="H42" s="26"/>
      <c r="I42" s="31"/>
      <c r="K42" s="76"/>
      <c r="L42" s="40"/>
      <c r="M42" s="76"/>
    </row>
    <row r="43" spans="1:16">
      <c r="A43" s="29"/>
      <c r="B43" s="26"/>
      <c r="C43" s="28"/>
      <c r="D43" s="26"/>
      <c r="E43" s="78"/>
      <c r="F43" s="78"/>
      <c r="G43" s="77"/>
      <c r="H43" s="78"/>
      <c r="I43" s="79"/>
      <c r="J43" s="40"/>
      <c r="K43" s="40"/>
      <c r="L43" s="40"/>
      <c r="M43" s="40"/>
      <c r="N43" s="40"/>
      <c r="O43" s="40"/>
    </row>
    <row r="44" spans="1:16">
      <c r="A44" s="29"/>
      <c r="B44" s="26"/>
      <c r="C44" s="28"/>
      <c r="D44" s="26"/>
      <c r="E44" s="78"/>
      <c r="F44" s="78"/>
      <c r="G44" s="77"/>
      <c r="H44" s="78"/>
      <c r="I44" s="79"/>
      <c r="J44" s="40"/>
      <c r="K44" s="76"/>
      <c r="L44" s="40"/>
      <c r="M44" s="76"/>
      <c r="N44" s="40"/>
      <c r="O44" s="40"/>
    </row>
    <row r="45" spans="1:16">
      <c r="A45" s="29"/>
      <c r="B45" s="26"/>
      <c r="C45" s="28"/>
      <c r="D45" s="26"/>
      <c r="E45" s="78"/>
      <c r="F45" s="78"/>
      <c r="G45" s="77"/>
      <c r="H45" s="78"/>
      <c r="I45" s="79"/>
      <c r="J45" s="40"/>
      <c r="K45" s="40"/>
      <c r="L45" s="40"/>
      <c r="M45" s="76"/>
      <c r="N45" s="40"/>
      <c r="O45" s="40"/>
    </row>
    <row r="46" spans="1:16" s="72" customFormat="1">
      <c r="A46" s="29"/>
      <c r="B46" s="45"/>
      <c r="C46" s="28"/>
      <c r="D46" s="45"/>
      <c r="E46" s="78"/>
      <c r="F46" s="78"/>
      <c r="G46" s="77"/>
      <c r="H46" s="78"/>
      <c r="I46" s="79"/>
      <c r="J46" s="40"/>
      <c r="K46" s="40"/>
      <c r="L46" s="40"/>
      <c r="M46" s="76"/>
      <c r="N46" s="40"/>
      <c r="O46" s="40"/>
    </row>
    <row r="47" spans="1:16" s="72" customFormat="1">
      <c r="A47" s="29"/>
      <c r="B47" s="45"/>
      <c r="C47" s="28"/>
      <c r="D47" s="45"/>
      <c r="E47" s="78"/>
      <c r="F47" s="78"/>
      <c r="G47" s="77"/>
      <c r="H47" s="78"/>
      <c r="I47" s="79"/>
      <c r="J47" s="40"/>
      <c r="K47" s="1"/>
      <c r="L47" s="40"/>
      <c r="M47" s="76"/>
      <c r="N47" s="40"/>
      <c r="O47" s="40"/>
    </row>
    <row r="48" spans="1:16">
      <c r="A48" s="29"/>
      <c r="B48" s="26"/>
      <c r="C48" s="28"/>
      <c r="D48" s="26"/>
      <c r="E48" s="78"/>
      <c r="F48" s="78"/>
      <c r="G48" s="77"/>
      <c r="H48" s="78"/>
      <c r="I48" s="79"/>
      <c r="J48" s="40"/>
      <c r="K48" s="1"/>
      <c r="L48" s="40"/>
      <c r="M48" s="76"/>
      <c r="N48" s="40"/>
      <c r="O48" s="40"/>
    </row>
    <row r="49" spans="1:15">
      <c r="A49" s="29"/>
      <c r="B49" s="26"/>
      <c r="C49" s="28"/>
      <c r="D49" s="26"/>
      <c r="E49" s="78"/>
      <c r="F49" s="78"/>
      <c r="G49" s="77"/>
      <c r="H49" s="78"/>
      <c r="I49" s="79"/>
      <c r="J49" s="40"/>
      <c r="K49" s="1"/>
      <c r="L49" s="40"/>
      <c r="M49" s="76"/>
      <c r="N49" s="40"/>
      <c r="O49" s="40"/>
    </row>
    <row r="50" spans="1:15">
      <c r="A50" s="29"/>
      <c r="B50" s="26"/>
      <c r="C50" s="28"/>
      <c r="D50" s="26"/>
      <c r="E50" s="78"/>
      <c r="F50" s="78"/>
      <c r="G50" s="77"/>
      <c r="H50" s="78"/>
      <c r="I50" s="79"/>
      <c r="J50" s="40"/>
      <c r="K50" s="1"/>
      <c r="L50" s="40"/>
      <c r="M50" s="76"/>
      <c r="N50" s="40"/>
      <c r="O50" s="40"/>
    </row>
    <row r="51" spans="1:15">
      <c r="E51" s="40"/>
      <c r="F51" s="40"/>
      <c r="G51" s="77"/>
      <c r="H51" s="78"/>
      <c r="I51" s="79"/>
      <c r="J51" s="40"/>
      <c r="K51" s="1"/>
      <c r="L51" s="40"/>
      <c r="M51" s="76"/>
      <c r="N51" s="40"/>
      <c r="O51" s="40"/>
    </row>
    <row r="52" spans="1:15">
      <c r="E52" s="40"/>
      <c r="F52" s="40"/>
      <c r="G52" s="77"/>
      <c r="H52" s="78"/>
      <c r="I52" s="79"/>
      <c r="J52" s="40"/>
      <c r="K52" s="73"/>
      <c r="L52" s="40"/>
      <c r="M52" s="73"/>
      <c r="N52" s="40"/>
      <c r="O52" s="40"/>
    </row>
    <row r="53" spans="1:15">
      <c r="E53" s="40"/>
      <c r="F53" s="40"/>
      <c r="G53" s="77"/>
      <c r="H53" s="78"/>
      <c r="I53" s="79"/>
      <c r="J53" s="40"/>
      <c r="K53" s="73"/>
      <c r="L53" s="40"/>
      <c r="M53" s="73"/>
      <c r="N53" s="40"/>
      <c r="O53" s="40"/>
    </row>
    <row r="54" spans="1:15">
      <c r="E54" s="40"/>
      <c r="F54" s="40"/>
      <c r="G54" s="77"/>
      <c r="H54" s="78"/>
      <c r="I54" s="79"/>
      <c r="J54" s="40"/>
      <c r="K54" s="73"/>
      <c r="L54" s="40"/>
      <c r="M54" s="73"/>
      <c r="N54" s="40"/>
      <c r="O54" s="40"/>
    </row>
    <row r="55" spans="1:15">
      <c r="E55" s="40"/>
      <c r="F55" s="40"/>
      <c r="G55" s="40"/>
      <c r="H55" s="40"/>
      <c r="I55" s="40"/>
      <c r="J55" s="40"/>
      <c r="K55" s="76"/>
      <c r="L55" s="40"/>
      <c r="M55" s="76"/>
      <c r="N55" s="40"/>
      <c r="O55" s="40"/>
    </row>
    <row r="56" spans="1:15"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</row>
    <row r="57" spans="1:15">
      <c r="E57" s="40"/>
      <c r="F57" s="40"/>
      <c r="G57" s="77"/>
      <c r="H57" s="40"/>
      <c r="I57" s="40"/>
      <c r="J57" s="40"/>
      <c r="K57" s="1"/>
      <c r="L57" s="40"/>
      <c r="M57" s="1"/>
      <c r="N57" s="40"/>
      <c r="O57" s="40"/>
    </row>
    <row r="58" spans="1:15"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</row>
    <row r="59" spans="1:15">
      <c r="E59" s="40"/>
      <c r="F59" s="40"/>
      <c r="G59" s="40"/>
      <c r="H59" s="40"/>
      <c r="I59" s="40"/>
      <c r="J59" s="40"/>
      <c r="K59" s="40"/>
      <c r="L59" s="40"/>
      <c r="M59" s="1"/>
      <c r="N59" s="40"/>
      <c r="O59" s="40"/>
    </row>
    <row r="60" spans="1:15">
      <c r="E60" s="40"/>
      <c r="F60" s="40"/>
      <c r="G60" s="40"/>
      <c r="H60" s="40"/>
      <c r="I60" s="40"/>
      <c r="J60" s="40"/>
      <c r="K60" s="40"/>
      <c r="L60" s="40"/>
      <c r="M60" s="1"/>
      <c r="N60" s="40"/>
      <c r="O60" s="40"/>
    </row>
    <row r="61" spans="1:15"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</row>
    <row r="62" spans="1:15">
      <c r="E62" s="40"/>
      <c r="F62" s="40"/>
      <c r="G62" s="40"/>
      <c r="H62" s="40"/>
      <c r="I62" s="40"/>
      <c r="J62" s="40"/>
      <c r="K62" s="76"/>
      <c r="L62" s="40"/>
      <c r="M62" s="76"/>
      <c r="N62" s="40"/>
      <c r="O62" s="40"/>
    </row>
    <row r="63" spans="1:15"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</row>
    <row r="64" spans="1:15"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</row>
  </sheetData>
  <mergeCells count="3">
    <mergeCell ref="A2:I2"/>
    <mergeCell ref="A3:I3"/>
    <mergeCell ref="A5:I5"/>
  </mergeCells>
  <printOptions horizontalCentered="1" verticalCentered="1"/>
  <pageMargins left="1" right="1" top="1" bottom="1" header="0.55000000000000004" footer="0.55000000000000004"/>
  <pageSetup scale="94" orientation="portrait" r:id="rId1"/>
  <headerFooter>
    <oddHeader xml:space="preserve">&amp;CKENTUCKY POWER COMPANY
TEST YEAR ENDED FEBRUARY 28, 2017&amp;RSECTION  V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Normal="100" workbookViewId="0">
      <pane xSplit="4" ySplit="8" topLeftCell="E9" activePane="bottomRight" state="frozen"/>
      <selection activeCell="B4" sqref="B4:G4"/>
      <selection pane="topRight" activeCell="B4" sqref="B4:G4"/>
      <selection pane="bottomLeft" activeCell="B4" sqref="B4:G4"/>
      <selection pane="bottomRight" sqref="A1:XFD1048576"/>
    </sheetView>
  </sheetViews>
  <sheetFormatPr defaultColWidth="9.140625" defaultRowHeight="12.75"/>
  <cols>
    <col min="1" max="1" width="5.42578125" style="89" customWidth="1"/>
    <col min="2" max="2" width="11.28515625" style="89" bestFit="1" customWidth="1"/>
    <col min="3" max="3" width="5.7109375" style="89" bestFit="1" customWidth="1"/>
    <col min="4" max="4" width="2.28515625" style="89" customWidth="1"/>
    <col min="5" max="5" width="15.140625" style="89" customWidth="1"/>
    <col min="6" max="6" width="15.5703125" style="89" customWidth="1"/>
    <col min="7" max="7" width="2.28515625" style="89" customWidth="1"/>
    <col min="8" max="8" width="15" style="89" customWidth="1"/>
    <col min="9" max="9" width="16.7109375" style="89" customWidth="1"/>
    <col min="10" max="10" width="3.7109375" style="89" customWidth="1"/>
    <col min="11" max="11" width="40.7109375" style="89" customWidth="1"/>
    <col min="12" max="13" width="3.7109375" style="89" customWidth="1"/>
    <col min="14" max="14" width="12.7109375" style="89" customWidth="1"/>
    <col min="15" max="15" width="2.28515625" style="89" customWidth="1"/>
    <col min="16" max="16" width="12.7109375" style="89" customWidth="1"/>
    <col min="17" max="17" width="2.28515625" style="89" customWidth="1"/>
    <col min="18" max="18" width="15.7109375" style="89" customWidth="1"/>
    <col min="19" max="19" width="2.28515625" style="89" customWidth="1"/>
    <col min="20" max="20" width="12.140625" style="89" bestFit="1" customWidth="1"/>
    <col min="21" max="16384" width="9.140625" style="89"/>
  </cols>
  <sheetData>
    <row r="1" spans="1:19">
      <c r="A1" s="421" t="s">
        <v>403</v>
      </c>
      <c r="B1" s="418"/>
      <c r="C1" s="418"/>
      <c r="D1" s="418"/>
      <c r="E1" s="418"/>
      <c r="F1" s="418"/>
      <c r="G1" s="418"/>
      <c r="H1" s="418"/>
      <c r="I1" s="418"/>
      <c r="K1" s="247"/>
    </row>
    <row r="2" spans="1:19">
      <c r="A2" s="421"/>
      <c r="B2" s="418"/>
      <c r="C2" s="418"/>
      <c r="D2" s="418"/>
      <c r="E2" s="418"/>
      <c r="F2" s="418"/>
      <c r="G2" s="418"/>
      <c r="H2" s="418"/>
      <c r="I2" s="418"/>
      <c r="K2" s="247"/>
    </row>
    <row r="3" spans="1:19">
      <c r="A3" s="421" t="s">
        <v>962</v>
      </c>
      <c r="B3" s="418"/>
      <c r="C3" s="418"/>
      <c r="D3" s="418"/>
      <c r="E3" s="418"/>
      <c r="F3" s="418"/>
      <c r="G3" s="418"/>
      <c r="H3" s="418"/>
      <c r="I3" s="418"/>
      <c r="K3" s="247"/>
    </row>
    <row r="4" spans="1:19">
      <c r="K4" s="247"/>
    </row>
    <row r="5" spans="1:19">
      <c r="K5" s="247"/>
    </row>
    <row r="6" spans="1:19">
      <c r="K6" s="362" t="s">
        <v>965</v>
      </c>
    </row>
    <row r="7" spans="1:19">
      <c r="E7" s="421" t="s">
        <v>777</v>
      </c>
      <c r="F7" s="421"/>
      <c r="G7" s="247"/>
      <c r="H7" s="421" t="s">
        <v>778</v>
      </c>
      <c r="I7" s="421"/>
      <c r="K7" s="247"/>
    </row>
    <row r="8" spans="1:19" ht="25.5">
      <c r="A8" s="108" t="s">
        <v>564</v>
      </c>
      <c r="B8" s="108" t="s">
        <v>695</v>
      </c>
      <c r="C8" s="108" t="s">
        <v>779</v>
      </c>
      <c r="D8" s="106"/>
      <c r="E8" s="360" t="s">
        <v>839</v>
      </c>
      <c r="F8" s="360" t="s">
        <v>154</v>
      </c>
      <c r="H8" s="360" t="s">
        <v>840</v>
      </c>
      <c r="I8" s="360" t="s">
        <v>154</v>
      </c>
      <c r="K8" s="108" t="s">
        <v>780</v>
      </c>
      <c r="N8" s="360" t="s">
        <v>781</v>
      </c>
      <c r="O8" s="360"/>
      <c r="R8" s="360" t="s">
        <v>782</v>
      </c>
      <c r="S8" s="360"/>
    </row>
    <row r="9" spans="1:19">
      <c r="K9" s="247"/>
    </row>
    <row r="10" spans="1:19">
      <c r="A10" s="109">
        <v>1</v>
      </c>
      <c r="B10" s="112" t="s">
        <v>470</v>
      </c>
      <c r="C10" s="359" t="s">
        <v>895</v>
      </c>
      <c r="E10" s="38">
        <v>3940</v>
      </c>
      <c r="F10" s="38">
        <v>1826569</v>
      </c>
      <c r="G10" s="249"/>
      <c r="H10" s="38">
        <v>9721</v>
      </c>
      <c r="I10" s="38">
        <v>4860533</v>
      </c>
      <c r="K10" s="360"/>
      <c r="N10" s="360"/>
      <c r="O10" s="360"/>
      <c r="R10" s="360"/>
      <c r="S10" s="360"/>
    </row>
    <row r="11" spans="1:19">
      <c r="A11" s="109">
        <f>+A10+1</f>
        <v>2</v>
      </c>
      <c r="B11" s="112" t="s">
        <v>458</v>
      </c>
      <c r="C11" s="359" t="s">
        <v>895</v>
      </c>
      <c r="E11" s="38">
        <v>3512</v>
      </c>
      <c r="F11" s="38">
        <v>1600196</v>
      </c>
      <c r="G11" s="249"/>
      <c r="H11" s="38">
        <v>8949</v>
      </c>
      <c r="I11" s="38">
        <v>4314420</v>
      </c>
      <c r="K11" s="247"/>
    </row>
    <row r="12" spans="1:19">
      <c r="A12" s="109">
        <f t="shared" ref="A12:A21" si="0">+A11+1</f>
        <v>3</v>
      </c>
      <c r="B12" s="112" t="s">
        <v>460</v>
      </c>
      <c r="C12" s="359" t="s">
        <v>895</v>
      </c>
      <c r="E12" s="38">
        <v>3753</v>
      </c>
      <c r="F12" s="38">
        <v>1609940</v>
      </c>
      <c r="G12" s="249"/>
      <c r="H12" s="38">
        <v>9152</v>
      </c>
      <c r="I12" s="38">
        <v>4340183</v>
      </c>
      <c r="K12" s="247"/>
      <c r="N12" s="114"/>
      <c r="O12" s="114"/>
      <c r="R12" s="114"/>
      <c r="S12" s="114"/>
    </row>
    <row r="13" spans="1:19">
      <c r="A13" s="109">
        <f t="shared" si="0"/>
        <v>4</v>
      </c>
      <c r="B13" s="112" t="s">
        <v>461</v>
      </c>
      <c r="C13" s="359" t="s">
        <v>895</v>
      </c>
      <c r="E13" s="38">
        <v>4323</v>
      </c>
      <c r="F13" s="38">
        <v>1910271</v>
      </c>
      <c r="G13" s="249"/>
      <c r="H13" s="38">
        <v>10351</v>
      </c>
      <c r="I13" s="38">
        <v>4815499</v>
      </c>
      <c r="K13" s="247"/>
      <c r="N13" s="114"/>
      <c r="O13" s="114"/>
      <c r="R13" s="114"/>
      <c r="S13" s="114"/>
    </row>
    <row r="14" spans="1:19">
      <c r="A14" s="109">
        <f t="shared" si="0"/>
        <v>5</v>
      </c>
      <c r="B14" s="112" t="s">
        <v>462</v>
      </c>
      <c r="C14" s="359" t="s">
        <v>895</v>
      </c>
      <c r="E14" s="38">
        <v>4663</v>
      </c>
      <c r="F14" s="38">
        <v>2178968</v>
      </c>
      <c r="G14" s="249"/>
      <c r="H14" s="38">
        <v>11227</v>
      </c>
      <c r="I14" s="38">
        <v>5471978</v>
      </c>
      <c r="K14" s="247"/>
      <c r="N14" s="114"/>
      <c r="O14" s="114"/>
      <c r="R14" s="114"/>
      <c r="S14" s="114"/>
    </row>
    <row r="15" spans="1:19">
      <c r="A15" s="109">
        <f t="shared" si="0"/>
        <v>6</v>
      </c>
      <c r="B15" s="112" t="s">
        <v>463</v>
      </c>
      <c r="C15" s="359" t="s">
        <v>895</v>
      </c>
      <c r="E15" s="38">
        <v>4716</v>
      </c>
      <c r="F15" s="38">
        <v>2267597</v>
      </c>
      <c r="G15" s="249"/>
      <c r="H15" s="38">
        <v>10928</v>
      </c>
      <c r="I15" s="38">
        <v>5726876</v>
      </c>
      <c r="K15" s="247"/>
      <c r="N15" s="114"/>
      <c r="O15" s="114"/>
      <c r="R15" s="114"/>
      <c r="S15" s="114"/>
    </row>
    <row r="16" spans="1:19">
      <c r="A16" s="109">
        <f t="shared" si="0"/>
        <v>7</v>
      </c>
      <c r="B16" s="112" t="s">
        <v>464</v>
      </c>
      <c r="C16" s="359" t="s">
        <v>895</v>
      </c>
      <c r="E16" s="38">
        <v>4337</v>
      </c>
      <c r="F16" s="38">
        <v>1815088</v>
      </c>
      <c r="G16" s="249"/>
      <c r="H16" s="38">
        <v>10634</v>
      </c>
      <c r="I16" s="38">
        <v>4666409</v>
      </c>
      <c r="K16" s="247"/>
    </row>
    <row r="17" spans="1:20">
      <c r="A17" s="109">
        <f t="shared" si="0"/>
        <v>8</v>
      </c>
      <c r="B17" s="112" t="s">
        <v>465</v>
      </c>
      <c r="C17" s="359" t="s">
        <v>895</v>
      </c>
      <c r="E17" s="38">
        <v>3021</v>
      </c>
      <c r="F17" s="38">
        <v>1519685</v>
      </c>
      <c r="G17" s="249"/>
      <c r="H17" s="38">
        <v>7754</v>
      </c>
      <c r="I17" s="38">
        <v>3972297</v>
      </c>
      <c r="K17" s="247"/>
    </row>
    <row r="18" spans="1:20">
      <c r="A18" s="109">
        <f t="shared" si="0"/>
        <v>9</v>
      </c>
      <c r="B18" s="112" t="s">
        <v>466</v>
      </c>
      <c r="C18" s="359" t="s">
        <v>895</v>
      </c>
      <c r="E18" s="38">
        <v>3925</v>
      </c>
      <c r="F18" s="38">
        <v>1806219</v>
      </c>
      <c r="G18" s="249"/>
      <c r="H18" s="38">
        <v>9818</v>
      </c>
      <c r="I18" s="38">
        <v>4576193</v>
      </c>
      <c r="K18" s="363" t="s">
        <v>783</v>
      </c>
    </row>
    <row r="19" spans="1:20">
      <c r="A19" s="109">
        <f t="shared" si="0"/>
        <v>10</v>
      </c>
      <c r="B19" s="112" t="s">
        <v>467</v>
      </c>
      <c r="C19" s="359" t="s">
        <v>895</v>
      </c>
      <c r="E19" s="38">
        <v>5151</v>
      </c>
      <c r="F19" s="38">
        <v>2430487</v>
      </c>
      <c r="G19" s="249"/>
      <c r="H19" s="38">
        <v>12221</v>
      </c>
      <c r="I19" s="38">
        <v>5668295</v>
      </c>
      <c r="K19" s="247"/>
    </row>
    <row r="20" spans="1:20">
      <c r="A20" s="109">
        <f t="shared" si="0"/>
        <v>11</v>
      </c>
      <c r="B20" s="112" t="s">
        <v>468</v>
      </c>
      <c r="C20" s="359" t="s">
        <v>895</v>
      </c>
      <c r="E20" s="38">
        <v>5154</v>
      </c>
      <c r="F20" s="38">
        <v>2282272</v>
      </c>
      <c r="G20" s="249"/>
      <c r="H20" s="38">
        <v>11486</v>
      </c>
      <c r="I20" s="38">
        <v>5587639</v>
      </c>
      <c r="K20" s="360" t="s">
        <v>784</v>
      </c>
      <c r="N20" s="360" t="s">
        <v>785</v>
      </c>
      <c r="O20" s="360"/>
      <c r="R20" s="360" t="s">
        <v>785</v>
      </c>
      <c r="S20" s="360"/>
    </row>
    <row r="21" spans="1:20">
      <c r="A21" s="109">
        <f t="shared" si="0"/>
        <v>12</v>
      </c>
      <c r="B21" s="112" t="s">
        <v>469</v>
      </c>
      <c r="C21" s="359" t="s">
        <v>895</v>
      </c>
      <c r="E21" s="38">
        <v>4733</v>
      </c>
      <c r="F21" s="38">
        <v>1816829</v>
      </c>
      <c r="G21" s="249"/>
      <c r="H21" s="38">
        <v>10718</v>
      </c>
      <c r="I21" s="38">
        <v>4618201</v>
      </c>
      <c r="K21" s="247"/>
      <c r="N21" s="114"/>
      <c r="O21" s="114"/>
      <c r="R21" s="114"/>
      <c r="S21" s="114"/>
    </row>
    <row r="22" spans="1:20" ht="25.5">
      <c r="A22" s="109"/>
      <c r="B22" s="359"/>
      <c r="C22" s="359"/>
      <c r="E22" s="10" t="s">
        <v>698</v>
      </c>
      <c r="F22" s="112" t="s">
        <v>545</v>
      </c>
      <c r="G22" s="249"/>
      <c r="H22" s="10" t="s">
        <v>698</v>
      </c>
      <c r="I22" s="10" t="s">
        <v>545</v>
      </c>
      <c r="K22" s="362" t="s">
        <v>21</v>
      </c>
      <c r="N22" s="364">
        <v>3.4099999999999998E-2</v>
      </c>
      <c r="O22" s="365"/>
      <c r="P22" s="366" t="s">
        <v>859</v>
      </c>
      <c r="Q22" s="365"/>
      <c r="R22" s="364">
        <v>3.4099999999999998E-2</v>
      </c>
      <c r="S22" s="116"/>
      <c r="T22" s="108" t="s">
        <v>860</v>
      </c>
    </row>
    <row r="23" spans="1:20">
      <c r="A23" s="109"/>
      <c r="B23" s="359"/>
      <c r="C23" s="359"/>
      <c r="E23" s="10"/>
      <c r="F23" s="112"/>
      <c r="G23" s="249"/>
      <c r="H23" s="10"/>
      <c r="I23" s="10"/>
      <c r="K23" s="247" t="s">
        <v>786</v>
      </c>
      <c r="N23" s="365">
        <v>5.552E-2</v>
      </c>
      <c r="O23" s="365"/>
      <c r="P23" s="365"/>
      <c r="Q23" s="365"/>
      <c r="R23" s="365">
        <v>5.552E-2</v>
      </c>
      <c r="S23" s="114"/>
      <c r="T23" s="247"/>
    </row>
    <row r="24" spans="1:20" ht="25.5">
      <c r="A24" s="109">
        <f>+A21+1</f>
        <v>13</v>
      </c>
      <c r="B24" s="359" t="s">
        <v>448</v>
      </c>
      <c r="C24" s="359"/>
      <c r="E24" s="38">
        <f>SUM(E10:E23)</f>
        <v>51228</v>
      </c>
      <c r="F24" s="38">
        <f>SUM(F10:F23)</f>
        <v>23064121</v>
      </c>
      <c r="G24" s="249"/>
      <c r="H24" s="38">
        <f>SUM(H10:H23)</f>
        <v>122959</v>
      </c>
      <c r="I24" s="38">
        <f>SUM(I10:I23)</f>
        <v>58618523</v>
      </c>
      <c r="K24" s="247" t="s">
        <v>787</v>
      </c>
      <c r="N24" s="364">
        <v>5.552E-2</v>
      </c>
      <c r="O24" s="364"/>
      <c r="P24" s="366" t="s">
        <v>858</v>
      </c>
      <c r="Q24" s="365"/>
      <c r="R24" s="364">
        <v>5.552E-2</v>
      </c>
      <c r="S24" s="116"/>
      <c r="T24" s="108" t="s">
        <v>861</v>
      </c>
    </row>
    <row r="25" spans="1:20">
      <c r="A25" s="109"/>
      <c r="B25" s="359"/>
      <c r="C25" s="359"/>
      <c r="K25" s="362"/>
      <c r="N25" s="116"/>
      <c r="O25" s="116"/>
      <c r="R25" s="116"/>
      <c r="S25" s="116"/>
    </row>
    <row r="26" spans="1:20">
      <c r="A26" s="109"/>
      <c r="B26" s="359"/>
      <c r="C26" s="359"/>
      <c r="E26" s="361"/>
      <c r="F26" s="361"/>
      <c r="H26" s="361"/>
      <c r="I26" s="361"/>
    </row>
    <row r="27" spans="1:20" ht="25.5">
      <c r="A27" s="109">
        <f>+A24+1</f>
        <v>14</v>
      </c>
      <c r="B27" s="367" t="s">
        <v>788</v>
      </c>
      <c r="C27" s="359"/>
      <c r="E27" s="268">
        <f>N24</f>
        <v>5.552E-2</v>
      </c>
      <c r="F27" s="268">
        <f>R24</f>
        <v>5.552E-2</v>
      </c>
      <c r="H27" s="268">
        <f>N22</f>
        <v>3.4099999999999998E-2</v>
      </c>
      <c r="I27" s="268">
        <f>R22</f>
        <v>3.4099999999999998E-2</v>
      </c>
      <c r="J27" s="268" t="s">
        <v>459</v>
      </c>
      <c r="K27" s="362" t="s">
        <v>789</v>
      </c>
    </row>
    <row r="28" spans="1:20">
      <c r="A28" s="109"/>
      <c r="B28" s="359"/>
      <c r="C28" s="359"/>
      <c r="E28" s="361"/>
      <c r="F28" s="361"/>
      <c r="H28" s="361"/>
      <c r="I28" s="361"/>
      <c r="K28" s="434" t="s">
        <v>790</v>
      </c>
      <c r="L28" s="434"/>
      <c r="M28" s="434"/>
      <c r="N28" s="434"/>
      <c r="O28" s="434"/>
      <c r="P28" s="434"/>
    </row>
    <row r="29" spans="1:20">
      <c r="A29" s="109"/>
      <c r="B29" s="367"/>
      <c r="C29" s="359"/>
      <c r="E29" s="359" t="s">
        <v>473</v>
      </c>
      <c r="F29" s="359" t="s">
        <v>474</v>
      </c>
      <c r="H29" s="359" t="s">
        <v>473</v>
      </c>
      <c r="I29" s="359" t="s">
        <v>474</v>
      </c>
      <c r="K29" s="434"/>
      <c r="L29" s="434"/>
      <c r="M29" s="434"/>
      <c r="N29" s="434"/>
      <c r="O29" s="434"/>
      <c r="P29" s="434"/>
    </row>
    <row r="30" spans="1:20">
      <c r="A30" s="109"/>
      <c r="B30" s="367"/>
      <c r="C30" s="359"/>
      <c r="E30" s="360" t="s">
        <v>856</v>
      </c>
      <c r="F30" s="360" t="s">
        <v>857</v>
      </c>
      <c r="H30" s="360" t="s">
        <v>856</v>
      </c>
      <c r="I30" s="360" t="s">
        <v>857</v>
      </c>
      <c r="K30" s="247"/>
    </row>
    <row r="31" spans="1:20">
      <c r="A31" s="109"/>
      <c r="B31" s="367"/>
      <c r="C31" s="359"/>
      <c r="K31" s="247"/>
    </row>
    <row r="32" spans="1:20">
      <c r="B32" s="336"/>
      <c r="C32" s="359"/>
      <c r="K32" s="247"/>
    </row>
    <row r="33" spans="1:11">
      <c r="A33" s="109"/>
      <c r="B33" s="367"/>
      <c r="C33" s="359"/>
      <c r="E33" s="359"/>
      <c r="K33" s="247"/>
    </row>
    <row r="34" spans="1:11">
      <c r="B34" s="359"/>
      <c r="C34" s="359"/>
      <c r="K34" s="247"/>
    </row>
    <row r="35" spans="1:11">
      <c r="B35" s="359"/>
      <c r="C35" s="359"/>
    </row>
    <row r="36" spans="1:11">
      <c r="B36" s="359"/>
      <c r="C36" s="359"/>
    </row>
    <row r="37" spans="1:11">
      <c r="A37" s="426" t="s">
        <v>791</v>
      </c>
      <c r="B37" s="426"/>
      <c r="C37" s="426"/>
      <c r="D37" s="426"/>
      <c r="E37" s="426"/>
      <c r="F37" s="426"/>
      <c r="G37" s="426"/>
      <c r="H37" s="426"/>
      <c r="I37" s="426"/>
      <c r="J37" s="426"/>
    </row>
    <row r="38" spans="1:11">
      <c r="B38" s="359"/>
      <c r="C38" s="359"/>
    </row>
    <row r="39" spans="1:11">
      <c r="B39" s="359"/>
      <c r="C39" s="359"/>
    </row>
  </sheetData>
  <mergeCells count="7">
    <mergeCell ref="K28:P29"/>
    <mergeCell ref="A37:J37"/>
    <mergeCell ref="A1:I1"/>
    <mergeCell ref="A2:I2"/>
    <mergeCell ref="A3:I3"/>
    <mergeCell ref="E7:F7"/>
    <mergeCell ref="H7:I7"/>
  </mergeCells>
  <printOptions horizontalCentered="1" verticalCentered="1"/>
  <pageMargins left="0" right="0" top="0" bottom="0" header="0.5" footer="0.5"/>
  <pageSetup scale="65" orientation="landscape" r:id="rId1"/>
  <headerFooter alignWithMargins="0">
    <oddHeader xml:space="preserve">&amp;CKENTUCKY POWER COMPANY
TEST YEAR ENDED FEBRUARY 28, 2017&amp;RSECTION V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4"/>
  <sheetViews>
    <sheetView zoomScale="90" zoomScaleNormal="90" workbookViewId="0">
      <pane ySplit="8" topLeftCell="A23" activePane="bottomLeft" state="frozen"/>
      <selection activeCell="C38" sqref="C38"/>
      <selection pane="bottomLeft" activeCell="J47" sqref="J47"/>
    </sheetView>
  </sheetViews>
  <sheetFormatPr defaultColWidth="9.140625" defaultRowHeight="12.75"/>
  <cols>
    <col min="1" max="1" width="7.28515625" style="89" bestFit="1" customWidth="1"/>
    <col min="2" max="2" width="3.7109375" style="89" customWidth="1"/>
    <col min="3" max="3" width="40.7109375" style="89" customWidth="1"/>
    <col min="4" max="4" width="2.28515625" style="89" customWidth="1"/>
    <col min="5" max="5" width="18.7109375" style="89" customWidth="1"/>
    <col min="6" max="6" width="2.28515625" style="89" customWidth="1"/>
    <col min="7" max="7" width="18.7109375" style="89" customWidth="1"/>
    <col min="8" max="8" width="2.28515625" style="89" customWidth="1"/>
    <col min="9" max="9" width="18.7109375" style="89" customWidth="1"/>
    <col min="10" max="10" width="2.28515625" style="89" customWidth="1"/>
    <col min="11" max="11" width="13.42578125" style="89" bestFit="1" customWidth="1"/>
    <col min="12" max="12" width="11.42578125" style="89" bestFit="1" customWidth="1"/>
    <col min="13" max="13" width="2.28515625" style="89" customWidth="1"/>
    <col min="14" max="16" width="9.140625" style="89"/>
    <col min="17" max="17" width="17.42578125" style="90" customWidth="1"/>
    <col min="18" max="16384" width="9.140625" style="89"/>
  </cols>
  <sheetData>
    <row r="1" spans="1:11">
      <c r="D1" s="374" t="s">
        <v>334</v>
      </c>
      <c r="I1" s="102" t="s">
        <v>536</v>
      </c>
    </row>
    <row r="2" spans="1:11">
      <c r="D2" s="374" t="s">
        <v>537</v>
      </c>
      <c r="I2" s="102" t="s">
        <v>538</v>
      </c>
    </row>
    <row r="3" spans="1:11">
      <c r="D3" s="371" t="s">
        <v>1000</v>
      </c>
    </row>
    <row r="5" spans="1:11">
      <c r="K5" s="104"/>
    </row>
    <row r="7" spans="1:11" ht="25.5">
      <c r="A7" s="105" t="s">
        <v>539</v>
      </c>
      <c r="B7" s="106"/>
      <c r="C7" s="107" t="s">
        <v>336</v>
      </c>
      <c r="D7" s="106"/>
      <c r="E7" s="105" t="s">
        <v>540</v>
      </c>
      <c r="F7" s="106"/>
      <c r="G7" s="105" t="s">
        <v>541</v>
      </c>
      <c r="H7" s="106"/>
      <c r="I7" s="105" t="s">
        <v>542</v>
      </c>
      <c r="K7" s="108"/>
    </row>
    <row r="8" spans="1:11">
      <c r="A8" s="109">
        <v>-1</v>
      </c>
      <c r="C8" s="109">
        <f>+A8-1</f>
        <v>-2</v>
      </c>
      <c r="E8" s="109">
        <f>+C8-1</f>
        <v>-3</v>
      </c>
      <c r="G8" s="109">
        <f>+E8-1</f>
        <v>-4</v>
      </c>
      <c r="I8" s="109">
        <f>+G8-1</f>
        <v>-5</v>
      </c>
    </row>
    <row r="9" spans="1:11">
      <c r="A9" s="109"/>
      <c r="C9" s="109"/>
      <c r="E9" s="109"/>
      <c r="G9" s="109"/>
      <c r="I9" s="109"/>
    </row>
    <row r="10" spans="1:11">
      <c r="B10" s="110" t="s">
        <v>543</v>
      </c>
      <c r="K10" s="3"/>
    </row>
    <row r="11" spans="1:11">
      <c r="A11" s="109">
        <v>1</v>
      </c>
      <c r="C11" s="89" t="s">
        <v>544</v>
      </c>
      <c r="E11" s="111">
        <f>'Sch 4'!G7+'Sch 4'!G8+'Sch 4'!G9</f>
        <v>499534502.65000004</v>
      </c>
      <c r="F11" s="111"/>
      <c r="G11" s="111">
        <f>+'Sch 2'!E20</f>
        <v>31780734</v>
      </c>
      <c r="H11" s="111"/>
      <c r="I11" s="111">
        <f>+E11+G11</f>
        <v>531315236.65000004</v>
      </c>
      <c r="K11" s="111"/>
    </row>
    <row r="12" spans="1:11">
      <c r="A12" s="109">
        <f>+A11+1</f>
        <v>2</v>
      </c>
      <c r="C12" s="89" t="s">
        <v>172</v>
      </c>
      <c r="E12" s="38">
        <f>'Sch 4'!G10</f>
        <v>25618746.32</v>
      </c>
      <c r="F12" s="38"/>
      <c r="G12" s="38">
        <v>0</v>
      </c>
      <c r="H12" s="38"/>
      <c r="I12" s="38">
        <f>+E12+G12</f>
        <v>25618746.32</v>
      </c>
    </row>
    <row r="13" spans="1:11">
      <c r="A13" s="109">
        <f>+A12+1</f>
        <v>3</v>
      </c>
      <c r="C13" s="89" t="s">
        <v>978</v>
      </c>
      <c r="E13" s="38">
        <f>'Sch 4'!G11</f>
        <v>42357604.399799995</v>
      </c>
      <c r="F13" s="38"/>
      <c r="G13" s="38">
        <v>0</v>
      </c>
      <c r="H13" s="38"/>
      <c r="I13" s="38">
        <f>+E13+G13</f>
        <v>42357604.399799995</v>
      </c>
    </row>
    <row r="14" spans="1:11">
      <c r="A14" s="109"/>
      <c r="E14" s="112" t="s">
        <v>545</v>
      </c>
      <c r="G14" s="112" t="s">
        <v>545</v>
      </c>
      <c r="I14" s="112" t="s">
        <v>545</v>
      </c>
    </row>
    <row r="15" spans="1:11">
      <c r="A15" s="109">
        <f>+A13+1</f>
        <v>4</v>
      </c>
      <c r="B15" s="89" t="s">
        <v>546</v>
      </c>
      <c r="E15" s="111">
        <f>+E11+E12+E13</f>
        <v>567510853.36979997</v>
      </c>
      <c r="G15" s="111">
        <f>+G11+G12</f>
        <v>31780734</v>
      </c>
      <c r="I15" s="111">
        <f>+I11+I12+I13</f>
        <v>599291587.36979997</v>
      </c>
    </row>
    <row r="16" spans="1:11">
      <c r="A16" s="109"/>
      <c r="E16" s="112" t="s">
        <v>545</v>
      </c>
      <c r="G16" s="112" t="s">
        <v>545</v>
      </c>
      <c r="I16" s="112" t="s">
        <v>545</v>
      </c>
    </row>
    <row r="17" spans="1:12">
      <c r="A17" s="109"/>
      <c r="B17" s="110" t="s">
        <v>547</v>
      </c>
      <c r="K17" s="114"/>
      <c r="L17" s="111"/>
    </row>
    <row r="18" spans="1:12">
      <c r="A18" s="109">
        <f>+A15+1</f>
        <v>5</v>
      </c>
      <c r="C18" s="89" t="s">
        <v>548</v>
      </c>
      <c r="E18" s="111">
        <f>'Sch 4'!G23</f>
        <v>396536656.4436422</v>
      </c>
      <c r="G18" s="111">
        <f>G15*('2 P2'!G11+'2 P2'!G12)</f>
        <v>171488.84066399999</v>
      </c>
      <c r="I18" s="111">
        <f>+E18+G18</f>
        <v>396708145.28430623</v>
      </c>
      <c r="K18" s="111"/>
    </row>
    <row r="19" spans="1:12">
      <c r="A19" s="109">
        <f>+A18+1</f>
        <v>6</v>
      </c>
      <c r="C19" s="89" t="s">
        <v>549</v>
      </c>
      <c r="E19" s="111">
        <f>'Sch 4'!G25</f>
        <v>74760443.180000007</v>
      </c>
      <c r="F19" s="38"/>
      <c r="G19" s="38">
        <v>0</v>
      </c>
      <c r="H19" s="38"/>
      <c r="I19" s="38">
        <f>+E19+G19</f>
        <v>74760443.180000007</v>
      </c>
    </row>
    <row r="20" spans="1:12">
      <c r="A20" s="109">
        <f>+A19+1</f>
        <v>7</v>
      </c>
      <c r="C20" s="89" t="s">
        <v>550</v>
      </c>
      <c r="E20" s="111">
        <f>'Sch 4'!G26</f>
        <v>22412856.239999998</v>
      </c>
      <c r="F20" s="38"/>
      <c r="G20" s="38">
        <v>0</v>
      </c>
      <c r="H20" s="38"/>
      <c r="I20" s="38">
        <f t="shared" ref="I20:I26" si="0">+E20+G20</f>
        <v>22412856.239999998</v>
      </c>
    </row>
    <row r="21" spans="1:12">
      <c r="A21" s="109">
        <f>+A20+1</f>
        <v>8</v>
      </c>
      <c r="C21" s="89" t="s">
        <v>31</v>
      </c>
      <c r="E21" s="111">
        <f>'Sch 4'!G27</f>
        <v>691026</v>
      </c>
      <c r="F21" s="38"/>
      <c r="G21" s="10">
        <f>ROUND((+G11-G18)*'Sch 5'!C505,0)</f>
        <v>1856797</v>
      </c>
      <c r="H21" s="38"/>
      <c r="I21" s="38">
        <f>+E21+G21</f>
        <v>2547823</v>
      </c>
    </row>
    <row r="22" spans="1:12">
      <c r="A22" s="109"/>
      <c r="C22" s="89" t="s">
        <v>847</v>
      </c>
      <c r="E22" s="111">
        <f>'Sch 4'!G28+'Sch 4'!G29</f>
        <v>2918287.85</v>
      </c>
      <c r="F22" s="38"/>
      <c r="G22" s="10"/>
      <c r="H22" s="38"/>
      <c r="I22" s="38">
        <f t="shared" si="0"/>
        <v>2918287.85</v>
      </c>
      <c r="K22" s="14"/>
      <c r="L22" s="14"/>
    </row>
    <row r="23" spans="1:12">
      <c r="A23" s="109"/>
      <c r="C23" s="89" t="s">
        <v>551</v>
      </c>
      <c r="E23" s="38"/>
      <c r="F23" s="38"/>
      <c r="G23" s="38"/>
      <c r="H23" s="38"/>
      <c r="I23" s="38"/>
    </row>
    <row r="24" spans="1:12">
      <c r="A24" s="109">
        <f>+A21+1</f>
        <v>9</v>
      </c>
      <c r="C24" s="89" t="s">
        <v>552</v>
      </c>
      <c r="E24" s="111">
        <f>'Sch 4'!G33</f>
        <v>-5623351</v>
      </c>
      <c r="F24" s="38"/>
      <c r="G24" s="10">
        <f>ROUND((+G11+G12-G18-G19-G20-G21)*0.35,0)</f>
        <v>10413357</v>
      </c>
      <c r="H24" s="38"/>
      <c r="I24" s="38">
        <f t="shared" si="0"/>
        <v>4790006</v>
      </c>
    </row>
    <row r="25" spans="1:12">
      <c r="A25" s="109">
        <f>+A24+1</f>
        <v>10</v>
      </c>
      <c r="C25" s="89" t="s">
        <v>553</v>
      </c>
      <c r="E25" s="111">
        <f>'Sch 4'!G34+'Sch 4'!G35</f>
        <v>19577087</v>
      </c>
      <c r="F25" s="38"/>
      <c r="G25" s="38">
        <v>0</v>
      </c>
      <c r="H25" s="38"/>
      <c r="I25" s="38">
        <f t="shared" si="0"/>
        <v>19577087</v>
      </c>
    </row>
    <row r="26" spans="1:12">
      <c r="A26" s="109">
        <f>+A25+1</f>
        <v>11</v>
      </c>
      <c r="C26" s="89" t="s">
        <v>554</v>
      </c>
      <c r="E26" s="111">
        <f>'Sch 4'!G36</f>
        <v>0</v>
      </c>
      <c r="F26" s="38"/>
      <c r="G26" s="38">
        <v>0</v>
      </c>
      <c r="H26" s="38"/>
      <c r="I26" s="38">
        <f t="shared" si="0"/>
        <v>0</v>
      </c>
    </row>
    <row r="27" spans="1:12">
      <c r="A27" s="109"/>
      <c r="E27" s="112" t="s">
        <v>545</v>
      </c>
      <c r="G27" s="112" t="s">
        <v>545</v>
      </c>
      <c r="I27" s="112" t="s">
        <v>545</v>
      </c>
    </row>
    <row r="28" spans="1:12">
      <c r="A28" s="109">
        <f>+A26+1</f>
        <v>12</v>
      </c>
      <c r="B28" s="89" t="s">
        <v>555</v>
      </c>
      <c r="E28" s="111">
        <f>SUM(E18:E27)</f>
        <v>511273005.71364224</v>
      </c>
      <c r="G28" s="111">
        <f>SUM(G18:G27)</f>
        <v>12441642.840663999</v>
      </c>
      <c r="I28" s="111">
        <f>SUM(I18:I27)</f>
        <v>523714648.55430627</v>
      </c>
    </row>
    <row r="29" spans="1:12">
      <c r="A29" s="109"/>
      <c r="E29" s="112" t="s">
        <v>545</v>
      </c>
      <c r="G29" s="112" t="s">
        <v>545</v>
      </c>
      <c r="I29" s="112" t="s">
        <v>545</v>
      </c>
    </row>
    <row r="30" spans="1:12">
      <c r="A30" s="109"/>
    </row>
    <row r="31" spans="1:12">
      <c r="A31" s="109">
        <f>+A28+1</f>
        <v>13</v>
      </c>
      <c r="B31" s="89" t="s">
        <v>1021</v>
      </c>
      <c r="E31" s="111">
        <f>+E15-E28</f>
        <v>56237847.656157732</v>
      </c>
      <c r="G31" s="111">
        <f>+G15-G28</f>
        <v>19339091.159336001</v>
      </c>
      <c r="I31" s="111">
        <f>+I15-I28</f>
        <v>75576938.815493703</v>
      </c>
      <c r="K31" s="111"/>
    </row>
    <row r="32" spans="1:12">
      <c r="A32" s="109">
        <f>+A31+1</f>
        <v>14</v>
      </c>
      <c r="B32" s="89" t="s">
        <v>556</v>
      </c>
      <c r="E32" s="38">
        <f>'Sch 4'!G40</f>
        <v>1650761</v>
      </c>
      <c r="G32" s="38">
        <v>0</v>
      </c>
      <c r="I32" s="38">
        <f>+E32+G32</f>
        <v>1650761</v>
      </c>
    </row>
    <row r="33" spans="1:11">
      <c r="A33" s="109"/>
      <c r="E33" s="112" t="s">
        <v>545</v>
      </c>
      <c r="G33" s="112" t="s">
        <v>545</v>
      </c>
      <c r="I33" s="112" t="s">
        <v>545</v>
      </c>
    </row>
    <row r="34" spans="1:11">
      <c r="A34" s="109">
        <f>+A32+1</f>
        <v>15</v>
      </c>
      <c r="B34" s="89" t="s">
        <v>557</v>
      </c>
      <c r="E34" s="111">
        <f>+E31+E32</f>
        <v>57888608.656157732</v>
      </c>
      <c r="G34" s="111">
        <f>+G31+G32</f>
        <v>19339091.159336001</v>
      </c>
      <c r="I34" s="111">
        <f>+I31+I32</f>
        <v>77227699.815493703</v>
      </c>
    </row>
    <row r="35" spans="1:11">
      <c r="A35" s="109"/>
      <c r="E35" s="112" t="s">
        <v>558</v>
      </c>
      <c r="G35" s="112" t="s">
        <v>558</v>
      </c>
      <c r="I35" s="112" t="s">
        <v>558</v>
      </c>
    </row>
    <row r="36" spans="1:11">
      <c r="A36" s="109"/>
    </row>
    <row r="37" spans="1:11">
      <c r="A37" s="109">
        <f>+A34+1</f>
        <v>16</v>
      </c>
      <c r="B37" s="110"/>
      <c r="C37" s="89" t="s">
        <v>167</v>
      </c>
      <c r="I37" s="111">
        <f>'Sch 4'!G53</f>
        <v>1192510021.2704554</v>
      </c>
    </row>
    <row r="38" spans="1:11">
      <c r="A38" s="109">
        <f>+A37+1</f>
        <v>17</v>
      </c>
      <c r="C38" s="89" t="s">
        <v>49</v>
      </c>
      <c r="E38" s="111"/>
      <c r="G38" s="111"/>
      <c r="I38" s="114">
        <f>ROUND(I34/I37,4)</f>
        <v>6.4799999999999996E-2</v>
      </c>
      <c r="K38" s="111"/>
    </row>
    <row r="39" spans="1:11">
      <c r="A39" s="109"/>
      <c r="E39" s="38"/>
      <c r="F39" s="38"/>
      <c r="G39" s="38"/>
      <c r="H39" s="38"/>
      <c r="I39" s="38"/>
    </row>
    <row r="40" spans="1:11">
      <c r="A40" s="109">
        <f>+A38+1</f>
        <v>18</v>
      </c>
      <c r="C40" s="89" t="s">
        <v>559</v>
      </c>
      <c r="E40" s="112"/>
      <c r="G40" s="112"/>
      <c r="I40" s="115">
        <f>+'2 P1'!E19</f>
        <v>1191785492.9804499</v>
      </c>
    </row>
    <row r="41" spans="1:11">
      <c r="A41" s="109">
        <f>+A40+1</f>
        <v>19</v>
      </c>
      <c r="C41" s="89" t="s">
        <v>49</v>
      </c>
      <c r="E41" s="111"/>
      <c r="G41" s="111"/>
      <c r="I41" s="114">
        <f>+'2 P1'!K19</f>
        <v>6.4799999999999996E-2</v>
      </c>
      <c r="K41" s="111"/>
    </row>
    <row r="42" spans="1:11">
      <c r="A42" s="109"/>
      <c r="E42" s="111"/>
      <c r="G42" s="111"/>
      <c r="I42" s="114"/>
      <c r="K42" s="111"/>
    </row>
    <row r="43" spans="1:11">
      <c r="A43" s="109"/>
      <c r="E43" s="38"/>
      <c r="G43" s="38"/>
      <c r="I43" s="38"/>
    </row>
    <row r="44" spans="1:11">
      <c r="A44" s="109">
        <f>A41+1</f>
        <v>20</v>
      </c>
      <c r="C44" s="89" t="s">
        <v>871</v>
      </c>
      <c r="E44" s="38"/>
      <c r="G44" s="38"/>
      <c r="I44" s="38">
        <f>I15</f>
        <v>599291587.36979997</v>
      </c>
    </row>
    <row r="45" spans="1:11">
      <c r="A45" s="109"/>
      <c r="E45" s="38"/>
      <c r="G45" s="38"/>
      <c r="I45" s="112" t="s">
        <v>558</v>
      </c>
    </row>
    <row r="46" spans="1:11">
      <c r="A46" s="109"/>
      <c r="E46" s="38"/>
      <c r="F46" s="38"/>
      <c r="G46" s="38"/>
      <c r="H46" s="38"/>
      <c r="I46" s="38"/>
    </row>
    <row r="47" spans="1:11">
      <c r="A47" s="109">
        <f>A44+1</f>
        <v>21</v>
      </c>
      <c r="C47" s="89" t="s">
        <v>560</v>
      </c>
      <c r="E47" s="38"/>
      <c r="I47" s="38">
        <f>G15</f>
        <v>31780734</v>
      </c>
    </row>
    <row r="48" spans="1:11">
      <c r="A48" s="109"/>
      <c r="E48" s="38"/>
      <c r="G48" s="38"/>
      <c r="I48" s="38"/>
    </row>
    <row r="49" spans="1:9">
      <c r="A49" s="109"/>
      <c r="E49" s="38"/>
      <c r="F49" s="38"/>
      <c r="G49" s="38"/>
      <c r="H49" s="38"/>
      <c r="I49" s="116"/>
    </row>
    <row r="50" spans="1:9">
      <c r="A50" s="109"/>
      <c r="E50" s="38"/>
      <c r="F50" s="38"/>
      <c r="G50" s="38"/>
      <c r="H50" s="38"/>
      <c r="I50" s="38"/>
    </row>
    <row r="51" spans="1:9">
      <c r="A51" s="109"/>
      <c r="E51" s="38"/>
      <c r="F51" s="38"/>
      <c r="G51" s="38"/>
      <c r="H51" s="38"/>
      <c r="I51" s="38"/>
    </row>
    <row r="52" spans="1:9">
      <c r="A52" s="109"/>
      <c r="E52" s="38"/>
      <c r="F52" s="38"/>
      <c r="G52" s="38"/>
      <c r="H52" s="38"/>
      <c r="I52" s="38"/>
    </row>
    <row r="53" spans="1:9">
      <c r="A53" s="109"/>
      <c r="E53" s="38"/>
      <c r="F53" s="38"/>
      <c r="G53" s="38"/>
      <c r="H53" s="38"/>
      <c r="I53" s="38"/>
    </row>
    <row r="54" spans="1:9">
      <c r="A54" s="109"/>
      <c r="E54" s="38"/>
      <c r="F54" s="38"/>
      <c r="G54" s="38"/>
      <c r="H54" s="38"/>
      <c r="I54" s="38"/>
    </row>
    <row r="55" spans="1:9">
      <c r="A55" s="109"/>
      <c r="E55" s="38"/>
      <c r="F55" s="38"/>
      <c r="G55" s="38"/>
      <c r="H55" s="38"/>
      <c r="I55" s="38"/>
    </row>
    <row r="56" spans="1:9">
      <c r="A56" s="109"/>
      <c r="B56" s="3"/>
      <c r="E56" s="38"/>
      <c r="F56" s="38"/>
      <c r="G56" s="38"/>
      <c r="H56" s="38"/>
      <c r="I56" s="38"/>
    </row>
    <row r="57" spans="1:9">
      <c r="A57" s="109"/>
      <c r="E57" s="38"/>
      <c r="F57" s="38"/>
      <c r="G57" s="38"/>
      <c r="H57" s="38"/>
      <c r="I57" s="38"/>
    </row>
    <row r="58" spans="1:9">
      <c r="A58" s="109"/>
      <c r="C58" s="106"/>
      <c r="E58" s="111"/>
      <c r="F58" s="38"/>
      <c r="G58" s="108"/>
      <c r="H58" s="38"/>
      <c r="I58" s="113"/>
    </row>
    <row r="59" spans="1:9">
      <c r="A59" s="109"/>
      <c r="E59" s="111"/>
      <c r="F59" s="38"/>
      <c r="G59" s="38"/>
      <c r="H59" s="38"/>
      <c r="I59" s="38"/>
    </row>
    <row r="60" spans="1:9">
      <c r="A60" s="109"/>
      <c r="C60" s="374"/>
      <c r="E60" s="38"/>
      <c r="F60" s="38"/>
      <c r="G60" s="38"/>
      <c r="H60" s="38"/>
      <c r="I60" s="38"/>
    </row>
    <row r="61" spans="1:9">
      <c r="A61" s="109"/>
      <c r="E61" s="38"/>
      <c r="F61" s="38"/>
      <c r="G61" s="38"/>
      <c r="H61" s="38"/>
      <c r="I61" s="38"/>
    </row>
    <row r="62" spans="1:9">
      <c r="A62" s="109"/>
      <c r="E62" s="114"/>
      <c r="F62" s="111"/>
      <c r="G62" s="111"/>
      <c r="H62" s="111"/>
      <c r="I62" s="111"/>
    </row>
    <row r="63" spans="1:9">
      <c r="A63" s="109"/>
      <c r="E63" s="112"/>
      <c r="G63" s="112"/>
      <c r="I63" s="112"/>
    </row>
    <row r="64" spans="1:9">
      <c r="A64" s="109"/>
      <c r="C64" s="106"/>
      <c r="E64" s="38"/>
    </row>
    <row r="65" spans="1:5">
      <c r="A65" s="109"/>
      <c r="E65" s="112"/>
    </row>
    <row r="66" spans="1:5">
      <c r="A66" s="109"/>
      <c r="C66" s="117"/>
      <c r="E66" s="111"/>
    </row>
    <row r="67" spans="1:5">
      <c r="A67" s="109"/>
      <c r="E67" s="112"/>
    </row>
    <row r="68" spans="1:5">
      <c r="A68" s="109"/>
    </row>
    <row r="69" spans="1:5">
      <c r="A69" s="109"/>
    </row>
    <row r="70" spans="1:5">
      <c r="A70" s="109"/>
    </row>
    <row r="71" spans="1:5">
      <c r="A71" s="109"/>
    </row>
    <row r="72" spans="1:5">
      <c r="A72" s="109"/>
    </row>
    <row r="73" spans="1:5">
      <c r="A73" s="109"/>
    </row>
    <row r="74" spans="1:5">
      <c r="A74" s="109"/>
    </row>
    <row r="75" spans="1:5">
      <c r="A75" s="109"/>
    </row>
    <row r="76" spans="1:5">
      <c r="A76" s="109"/>
    </row>
    <row r="77" spans="1:5">
      <c r="A77" s="109"/>
    </row>
    <row r="78" spans="1:5">
      <c r="A78" s="109"/>
    </row>
    <row r="79" spans="1:5">
      <c r="A79" s="109"/>
    </row>
    <row r="80" spans="1:5">
      <c r="A80" s="109"/>
    </row>
    <row r="81" spans="1:1">
      <c r="A81" s="109"/>
    </row>
    <row r="82" spans="1:1">
      <c r="A82" s="109"/>
    </row>
    <row r="83" spans="1:1">
      <c r="A83" s="109"/>
    </row>
    <row r="84" spans="1:1">
      <c r="A84" s="109"/>
    </row>
    <row r="85" spans="1:1">
      <c r="A85" s="109"/>
    </row>
    <row r="86" spans="1:1">
      <c r="A86" s="109"/>
    </row>
    <row r="87" spans="1:1">
      <c r="A87" s="109"/>
    </row>
    <row r="88" spans="1:1">
      <c r="A88" s="109"/>
    </row>
    <row r="89" spans="1:1">
      <c r="A89" s="109"/>
    </row>
    <row r="90" spans="1:1">
      <c r="A90" s="109"/>
    </row>
    <row r="91" spans="1:1">
      <c r="A91" s="109"/>
    </row>
    <row r="92" spans="1:1">
      <c r="A92" s="109"/>
    </row>
    <row r="93" spans="1:1">
      <c r="A93" s="109"/>
    </row>
    <row r="94" spans="1:1">
      <c r="A94" s="109"/>
    </row>
    <row r="95" spans="1:1">
      <c r="A95" s="109"/>
    </row>
    <row r="96" spans="1:1">
      <c r="A96" s="109"/>
    </row>
    <row r="97" spans="1:1">
      <c r="A97" s="109"/>
    </row>
    <row r="98" spans="1:1">
      <c r="A98" s="109"/>
    </row>
    <row r="99" spans="1:1">
      <c r="A99" s="109"/>
    </row>
    <row r="100" spans="1:1">
      <c r="A100" s="109"/>
    </row>
    <row r="101" spans="1:1">
      <c r="A101" s="109"/>
    </row>
    <row r="102" spans="1:1">
      <c r="A102" s="109"/>
    </row>
    <row r="103" spans="1:1">
      <c r="A103" s="109"/>
    </row>
    <row r="104" spans="1:1">
      <c r="A104" s="109"/>
    </row>
    <row r="105" spans="1:1">
      <c r="A105" s="109"/>
    </row>
    <row r="106" spans="1:1">
      <c r="A106" s="109"/>
    </row>
    <row r="107" spans="1:1">
      <c r="A107" s="109"/>
    </row>
    <row r="108" spans="1:1">
      <c r="A108" s="109"/>
    </row>
    <row r="109" spans="1:1">
      <c r="A109" s="109"/>
    </row>
    <row r="110" spans="1:1">
      <c r="A110" s="109"/>
    </row>
    <row r="111" spans="1:1">
      <c r="A111" s="109"/>
    </row>
    <row r="112" spans="1:1">
      <c r="A112" s="109"/>
    </row>
    <row r="113" spans="1:1">
      <c r="A113" s="109"/>
    </row>
    <row r="114" spans="1:1">
      <c r="A114" s="109"/>
    </row>
    <row r="115" spans="1:1">
      <c r="A115" s="38"/>
    </row>
    <row r="116" spans="1:1">
      <c r="A116" s="38"/>
    </row>
    <row r="117" spans="1:1">
      <c r="A117" s="38"/>
    </row>
    <row r="118" spans="1:1">
      <c r="A118" s="38"/>
    </row>
    <row r="119" spans="1:1">
      <c r="A119" s="38"/>
    </row>
    <row r="120" spans="1:1">
      <c r="A120" s="38"/>
    </row>
    <row r="121" spans="1:1">
      <c r="A121" s="38"/>
    </row>
    <row r="122" spans="1:1">
      <c r="A122" s="38"/>
    </row>
    <row r="123" spans="1:1">
      <c r="A123" s="38"/>
    </row>
    <row r="124" spans="1:1">
      <c r="A124" s="38"/>
    </row>
    <row r="125" spans="1:1">
      <c r="A125" s="38"/>
    </row>
    <row r="126" spans="1:1">
      <c r="A126" s="38"/>
    </row>
    <row r="127" spans="1:1">
      <c r="A127" s="38"/>
    </row>
    <row r="128" spans="1:1">
      <c r="A128" s="38"/>
    </row>
    <row r="129" spans="1:1">
      <c r="A129" s="38"/>
    </row>
    <row r="130" spans="1:1">
      <c r="A130" s="38"/>
    </row>
    <row r="131" spans="1:1">
      <c r="A131" s="38"/>
    </row>
    <row r="132" spans="1:1">
      <c r="A132" s="38"/>
    </row>
    <row r="133" spans="1:1">
      <c r="A133" s="38"/>
    </row>
    <row r="134" spans="1:1">
      <c r="A134" s="38"/>
    </row>
    <row r="135" spans="1:1">
      <c r="A135" s="38"/>
    </row>
    <row r="136" spans="1:1">
      <c r="A136" s="38"/>
    </row>
    <row r="137" spans="1:1">
      <c r="A137" s="38"/>
    </row>
    <row r="138" spans="1:1">
      <c r="A138" s="38"/>
    </row>
    <row r="139" spans="1:1">
      <c r="A139" s="38"/>
    </row>
    <row r="140" spans="1:1">
      <c r="A140" s="38"/>
    </row>
    <row r="141" spans="1:1">
      <c r="A141" s="38"/>
    </row>
    <row r="142" spans="1:1">
      <c r="A142" s="38"/>
    </row>
    <row r="143" spans="1:1">
      <c r="A143" s="38"/>
    </row>
    <row r="144" spans="1:1">
      <c r="A144" s="38"/>
    </row>
    <row r="145" spans="1:1">
      <c r="A145" s="38"/>
    </row>
    <row r="146" spans="1:1">
      <c r="A146" s="38"/>
    </row>
    <row r="147" spans="1:1">
      <c r="A147" s="38"/>
    </row>
    <row r="148" spans="1:1">
      <c r="A148" s="38"/>
    </row>
    <row r="149" spans="1:1">
      <c r="A149" s="38"/>
    </row>
    <row r="150" spans="1:1">
      <c r="A150" s="38"/>
    </row>
    <row r="151" spans="1:1">
      <c r="A151" s="38"/>
    </row>
    <row r="152" spans="1:1">
      <c r="A152" s="38"/>
    </row>
    <row r="153" spans="1:1">
      <c r="A153" s="38"/>
    </row>
    <row r="154" spans="1:1">
      <c r="A154" s="38"/>
    </row>
    <row r="155" spans="1:1">
      <c r="A155" s="38"/>
    </row>
    <row r="156" spans="1:1">
      <c r="A156" s="38"/>
    </row>
    <row r="157" spans="1:1">
      <c r="A157" s="38"/>
    </row>
    <row r="158" spans="1:1">
      <c r="A158" s="38"/>
    </row>
    <row r="159" spans="1:1">
      <c r="A159" s="38"/>
    </row>
    <row r="160" spans="1:1">
      <c r="A160" s="38"/>
    </row>
    <row r="161" spans="1:1">
      <c r="A161" s="38"/>
    </row>
    <row r="162" spans="1:1">
      <c r="A162" s="38"/>
    </row>
    <row r="163" spans="1:1">
      <c r="A163" s="38"/>
    </row>
    <row r="164" spans="1:1">
      <c r="A164" s="38"/>
    </row>
    <row r="165" spans="1:1">
      <c r="A165" s="38"/>
    </row>
    <row r="166" spans="1:1">
      <c r="A166" s="38"/>
    </row>
    <row r="167" spans="1:1">
      <c r="A167" s="38"/>
    </row>
    <row r="168" spans="1:1">
      <c r="A168" s="38"/>
    </row>
    <row r="169" spans="1:1">
      <c r="A169" s="38"/>
    </row>
    <row r="170" spans="1:1">
      <c r="A170" s="38"/>
    </row>
    <row r="171" spans="1:1">
      <c r="A171" s="38"/>
    </row>
    <row r="172" spans="1:1">
      <c r="A172" s="38"/>
    </row>
    <row r="173" spans="1:1">
      <c r="A173" s="38"/>
    </row>
    <row r="174" spans="1:1">
      <c r="A174" s="38"/>
    </row>
    <row r="175" spans="1:1">
      <c r="A175" s="38"/>
    </row>
    <row r="176" spans="1:1">
      <c r="A176" s="38"/>
    </row>
    <row r="177" spans="1:1">
      <c r="A177" s="38"/>
    </row>
    <row r="178" spans="1:1">
      <c r="A178" s="38"/>
    </row>
    <row r="179" spans="1:1">
      <c r="A179" s="38"/>
    </row>
    <row r="180" spans="1:1">
      <c r="A180" s="38"/>
    </row>
    <row r="181" spans="1:1">
      <c r="A181" s="38"/>
    </row>
    <row r="182" spans="1:1">
      <c r="A182" s="38"/>
    </row>
    <row r="183" spans="1:1">
      <c r="A183" s="38"/>
    </row>
    <row r="184" spans="1:1">
      <c r="A184" s="38"/>
    </row>
    <row r="185" spans="1:1">
      <c r="A185" s="38"/>
    </row>
    <row r="186" spans="1:1">
      <c r="A186" s="38"/>
    </row>
    <row r="187" spans="1:1">
      <c r="A187" s="38"/>
    </row>
    <row r="188" spans="1:1">
      <c r="A188" s="38"/>
    </row>
    <row r="189" spans="1:1">
      <c r="A189" s="38"/>
    </row>
    <row r="190" spans="1:1">
      <c r="A190" s="38"/>
    </row>
    <row r="191" spans="1:1">
      <c r="A191" s="38"/>
    </row>
    <row r="192" spans="1:1">
      <c r="A192" s="38"/>
    </row>
    <row r="193" spans="1:1">
      <c r="A193" s="38"/>
    </row>
    <row r="194" spans="1:1">
      <c r="A194" s="38"/>
    </row>
    <row r="195" spans="1:1">
      <c r="A195" s="38"/>
    </row>
    <row r="196" spans="1:1">
      <c r="A196" s="38"/>
    </row>
    <row r="197" spans="1:1">
      <c r="A197" s="38"/>
    </row>
    <row r="198" spans="1:1">
      <c r="A198" s="38"/>
    </row>
    <row r="199" spans="1:1">
      <c r="A199" s="38"/>
    </row>
    <row r="200" spans="1:1">
      <c r="A200" s="38"/>
    </row>
    <row r="201" spans="1:1">
      <c r="A201" s="38"/>
    </row>
    <row r="202" spans="1:1">
      <c r="A202" s="38"/>
    </row>
    <row r="203" spans="1:1">
      <c r="A203" s="38"/>
    </row>
    <row r="204" spans="1:1">
      <c r="A204" s="38"/>
    </row>
    <row r="205" spans="1:1">
      <c r="A205" s="38"/>
    </row>
    <row r="206" spans="1:1">
      <c r="A206" s="38"/>
    </row>
    <row r="207" spans="1:1">
      <c r="A207" s="38"/>
    </row>
    <row r="208" spans="1:1">
      <c r="A208" s="38"/>
    </row>
    <row r="209" spans="1:1">
      <c r="A209" s="38"/>
    </row>
    <row r="210" spans="1:1">
      <c r="A210" s="38"/>
    </row>
    <row r="211" spans="1:1">
      <c r="A211" s="38"/>
    </row>
    <row r="212" spans="1:1">
      <c r="A212" s="38"/>
    </row>
    <row r="213" spans="1:1">
      <c r="A213" s="38"/>
    </row>
    <row r="214" spans="1:1">
      <c r="A214" s="38"/>
    </row>
    <row r="215" spans="1:1">
      <c r="A215" s="38"/>
    </row>
    <row r="216" spans="1:1">
      <c r="A216" s="38"/>
    </row>
    <row r="217" spans="1:1">
      <c r="A217" s="38"/>
    </row>
    <row r="218" spans="1:1">
      <c r="A218" s="38"/>
    </row>
    <row r="219" spans="1:1">
      <c r="A219" s="38"/>
    </row>
    <row r="220" spans="1:1">
      <c r="A220" s="38"/>
    </row>
    <row r="221" spans="1:1">
      <c r="A221" s="38"/>
    </row>
    <row r="222" spans="1:1">
      <c r="A222" s="38"/>
    </row>
    <row r="223" spans="1:1">
      <c r="A223" s="38"/>
    </row>
    <row r="224" spans="1:1">
      <c r="A224" s="38"/>
    </row>
    <row r="225" spans="1:1">
      <c r="A225" s="38"/>
    </row>
    <row r="226" spans="1:1">
      <c r="A226" s="38"/>
    </row>
    <row r="227" spans="1:1">
      <c r="A227" s="38"/>
    </row>
    <row r="228" spans="1:1">
      <c r="A228" s="38"/>
    </row>
    <row r="229" spans="1:1">
      <c r="A229" s="38"/>
    </row>
    <row r="230" spans="1:1">
      <c r="A230" s="38"/>
    </row>
    <row r="231" spans="1:1">
      <c r="A231" s="38"/>
    </row>
    <row r="232" spans="1:1">
      <c r="A232" s="38"/>
    </row>
    <row r="233" spans="1:1">
      <c r="A233" s="38"/>
    </row>
    <row r="234" spans="1:1">
      <c r="A234" s="38"/>
    </row>
    <row r="235" spans="1:1">
      <c r="A235" s="38"/>
    </row>
    <row r="236" spans="1:1">
      <c r="A236" s="38"/>
    </row>
    <row r="237" spans="1:1">
      <c r="A237" s="38"/>
    </row>
    <row r="238" spans="1:1">
      <c r="A238" s="38"/>
    </row>
    <row r="239" spans="1:1">
      <c r="A239" s="38"/>
    </row>
    <row r="240" spans="1:1">
      <c r="A240" s="38"/>
    </row>
    <row r="241" spans="1:1">
      <c r="A241" s="38"/>
    </row>
    <row r="242" spans="1:1">
      <c r="A242" s="38"/>
    </row>
    <row r="243" spans="1:1">
      <c r="A243" s="38"/>
    </row>
    <row r="244" spans="1:1">
      <c r="A244" s="38"/>
    </row>
    <row r="245" spans="1:1">
      <c r="A245" s="38"/>
    </row>
    <row r="246" spans="1:1">
      <c r="A246" s="38"/>
    </row>
    <row r="247" spans="1:1">
      <c r="A247" s="38"/>
    </row>
    <row r="248" spans="1:1">
      <c r="A248" s="38"/>
    </row>
    <row r="249" spans="1:1">
      <c r="A249" s="38"/>
    </row>
    <row r="250" spans="1:1">
      <c r="A250" s="38"/>
    </row>
    <row r="251" spans="1:1">
      <c r="A251" s="38"/>
    </row>
    <row r="252" spans="1:1">
      <c r="A252" s="38"/>
    </row>
    <row r="253" spans="1:1">
      <c r="A253" s="38"/>
    </row>
    <row r="254" spans="1:1">
      <c r="A254" s="38"/>
    </row>
    <row r="255" spans="1:1">
      <c r="A255" s="38"/>
    </row>
    <row r="256" spans="1:1">
      <c r="A256" s="38"/>
    </row>
    <row r="257" spans="1:1">
      <c r="A257" s="38"/>
    </row>
    <row r="258" spans="1:1">
      <c r="A258" s="38"/>
    </row>
    <row r="259" spans="1:1">
      <c r="A259" s="38"/>
    </row>
    <row r="260" spans="1:1">
      <c r="A260" s="38"/>
    </row>
    <row r="261" spans="1:1">
      <c r="A261" s="38"/>
    </row>
    <row r="262" spans="1:1">
      <c r="A262" s="38"/>
    </row>
    <row r="263" spans="1:1">
      <c r="A263" s="38"/>
    </row>
    <row r="264" spans="1:1">
      <c r="A264" s="38"/>
    </row>
    <row r="265" spans="1:1">
      <c r="A265" s="38"/>
    </row>
    <row r="266" spans="1:1">
      <c r="A266" s="38"/>
    </row>
    <row r="267" spans="1:1">
      <c r="A267" s="38"/>
    </row>
    <row r="268" spans="1:1">
      <c r="A268" s="38"/>
    </row>
    <row r="269" spans="1:1">
      <c r="A269" s="38"/>
    </row>
    <row r="270" spans="1:1">
      <c r="A270" s="38"/>
    </row>
    <row r="271" spans="1:1">
      <c r="A271" s="38"/>
    </row>
    <row r="272" spans="1:1">
      <c r="A272" s="38"/>
    </row>
    <row r="273" spans="1:1">
      <c r="A273" s="38"/>
    </row>
    <row r="274" spans="1:1">
      <c r="A274" s="38"/>
    </row>
    <row r="275" spans="1:1">
      <c r="A275" s="38"/>
    </row>
    <row r="276" spans="1:1">
      <c r="A276" s="38"/>
    </row>
    <row r="277" spans="1:1">
      <c r="A277" s="38"/>
    </row>
    <row r="278" spans="1:1">
      <c r="A278" s="38"/>
    </row>
    <row r="279" spans="1:1">
      <c r="A279" s="38"/>
    </row>
    <row r="280" spans="1:1">
      <c r="A280" s="38"/>
    </row>
    <row r="281" spans="1:1">
      <c r="A281" s="38"/>
    </row>
    <row r="282" spans="1:1">
      <c r="A282" s="38"/>
    </row>
    <row r="283" spans="1:1">
      <c r="A283" s="38"/>
    </row>
    <row r="284" spans="1:1">
      <c r="A284" s="38"/>
    </row>
    <row r="285" spans="1:1">
      <c r="A285" s="38"/>
    </row>
    <row r="286" spans="1:1">
      <c r="A286" s="38"/>
    </row>
    <row r="287" spans="1:1">
      <c r="A287" s="38"/>
    </row>
    <row r="288" spans="1:1">
      <c r="A288" s="38"/>
    </row>
    <row r="289" spans="1:1">
      <c r="A289" s="38"/>
    </row>
    <row r="290" spans="1:1">
      <c r="A290" s="38"/>
    </row>
    <row r="291" spans="1:1">
      <c r="A291" s="38"/>
    </row>
    <row r="292" spans="1:1">
      <c r="A292" s="38"/>
    </row>
    <row r="293" spans="1:1">
      <c r="A293" s="38"/>
    </row>
    <row r="294" spans="1:1">
      <c r="A294" s="38"/>
    </row>
    <row r="295" spans="1:1">
      <c r="A295" s="38"/>
    </row>
    <row r="296" spans="1:1">
      <c r="A296" s="38"/>
    </row>
    <row r="297" spans="1:1">
      <c r="A297" s="38"/>
    </row>
    <row r="298" spans="1:1">
      <c r="A298" s="38"/>
    </row>
    <row r="299" spans="1:1">
      <c r="A299" s="38"/>
    </row>
    <row r="300" spans="1:1">
      <c r="A300" s="38"/>
    </row>
    <row r="301" spans="1:1">
      <c r="A301" s="38"/>
    </row>
    <row r="302" spans="1:1">
      <c r="A302" s="38"/>
    </row>
    <row r="303" spans="1:1">
      <c r="A303" s="38"/>
    </row>
    <row r="304" spans="1:1">
      <c r="A304" s="38"/>
    </row>
    <row r="305" spans="1:1">
      <c r="A305" s="38"/>
    </row>
    <row r="306" spans="1:1">
      <c r="A306" s="38"/>
    </row>
    <row r="307" spans="1:1">
      <c r="A307" s="38"/>
    </row>
    <row r="308" spans="1:1">
      <c r="A308" s="38"/>
    </row>
    <row r="309" spans="1:1">
      <c r="A309" s="38"/>
    </row>
    <row r="310" spans="1:1">
      <c r="A310" s="38"/>
    </row>
    <row r="311" spans="1:1">
      <c r="A311" s="38"/>
    </row>
    <row r="312" spans="1:1">
      <c r="A312" s="38"/>
    </row>
    <row r="313" spans="1:1">
      <c r="A313" s="38"/>
    </row>
    <row r="314" spans="1:1">
      <c r="A314" s="38"/>
    </row>
    <row r="315" spans="1:1">
      <c r="A315" s="38"/>
    </row>
    <row r="316" spans="1:1">
      <c r="A316" s="38"/>
    </row>
    <row r="317" spans="1:1">
      <c r="A317" s="38"/>
    </row>
    <row r="318" spans="1:1">
      <c r="A318" s="38"/>
    </row>
    <row r="319" spans="1:1">
      <c r="A319" s="38"/>
    </row>
    <row r="320" spans="1:1">
      <c r="A320" s="38"/>
    </row>
    <row r="321" spans="1:1">
      <c r="A321" s="38"/>
    </row>
    <row r="322" spans="1:1">
      <c r="A322" s="38"/>
    </row>
    <row r="323" spans="1:1">
      <c r="A323" s="38"/>
    </row>
    <row r="324" spans="1:1">
      <c r="A324" s="38"/>
    </row>
    <row r="325" spans="1:1">
      <c r="A325" s="38"/>
    </row>
    <row r="326" spans="1:1">
      <c r="A326" s="38"/>
    </row>
    <row r="327" spans="1:1">
      <c r="A327" s="38"/>
    </row>
    <row r="328" spans="1:1">
      <c r="A328" s="38"/>
    </row>
    <row r="329" spans="1:1">
      <c r="A329" s="38"/>
    </row>
    <row r="330" spans="1:1">
      <c r="A330" s="38"/>
    </row>
    <row r="331" spans="1:1">
      <c r="A331" s="38"/>
    </row>
    <row r="332" spans="1:1">
      <c r="A332" s="38"/>
    </row>
    <row r="333" spans="1:1">
      <c r="A333" s="38"/>
    </row>
    <row r="334" spans="1:1">
      <c r="A334" s="38"/>
    </row>
    <row r="335" spans="1:1">
      <c r="A335" s="38"/>
    </row>
    <row r="336" spans="1:1">
      <c r="A336" s="38"/>
    </row>
    <row r="337" spans="1:1">
      <c r="A337" s="38"/>
    </row>
    <row r="338" spans="1:1">
      <c r="A338" s="38"/>
    </row>
    <row r="339" spans="1:1">
      <c r="A339" s="38"/>
    </row>
    <row r="340" spans="1:1">
      <c r="A340" s="38"/>
    </row>
    <row r="341" spans="1:1">
      <c r="A341" s="38"/>
    </row>
    <row r="342" spans="1:1">
      <c r="A342" s="38"/>
    </row>
    <row r="343" spans="1:1">
      <c r="A343" s="38"/>
    </row>
    <row r="344" spans="1:1">
      <c r="A344" s="38"/>
    </row>
    <row r="345" spans="1:1">
      <c r="A345" s="38"/>
    </row>
    <row r="346" spans="1:1">
      <c r="A346" s="38"/>
    </row>
    <row r="347" spans="1:1">
      <c r="A347" s="38"/>
    </row>
    <row r="348" spans="1:1">
      <c r="A348" s="38"/>
    </row>
    <row r="349" spans="1:1">
      <c r="A349" s="38"/>
    </row>
    <row r="350" spans="1:1">
      <c r="A350" s="38"/>
    </row>
    <row r="351" spans="1:1">
      <c r="A351" s="38"/>
    </row>
    <row r="352" spans="1:1">
      <c r="A352" s="38"/>
    </row>
    <row r="353" spans="1:1">
      <c r="A353" s="38"/>
    </row>
    <row r="354" spans="1:1">
      <c r="A354" s="38"/>
    </row>
    <row r="355" spans="1:1">
      <c r="A355" s="38"/>
    </row>
    <row r="356" spans="1:1">
      <c r="A356" s="38"/>
    </row>
    <row r="357" spans="1:1">
      <c r="A357" s="38"/>
    </row>
    <row r="358" spans="1:1">
      <c r="A358" s="38"/>
    </row>
    <row r="359" spans="1:1">
      <c r="A359" s="38"/>
    </row>
    <row r="360" spans="1:1">
      <c r="A360" s="38"/>
    </row>
    <row r="361" spans="1:1">
      <c r="A361" s="38"/>
    </row>
    <row r="362" spans="1:1">
      <c r="A362" s="38"/>
    </row>
    <row r="363" spans="1:1">
      <c r="A363" s="38"/>
    </row>
    <row r="364" spans="1:1">
      <c r="A364" s="38"/>
    </row>
  </sheetData>
  <printOptions horizontalCentered="1"/>
  <pageMargins left="0" right="0" top="1" bottom="0.5" header="0" footer="0"/>
  <pageSetup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="120" zoomScaleNormal="120" workbookViewId="0">
      <pane ySplit="6" topLeftCell="A7" activePane="bottomLeft" state="frozen"/>
      <selection pane="bottomLeft" activeCell="E22" sqref="E22"/>
    </sheetView>
  </sheetViews>
  <sheetFormatPr defaultColWidth="9.140625" defaultRowHeight="12.75"/>
  <cols>
    <col min="1" max="1" width="4.42578125" style="374" bestFit="1" customWidth="1"/>
    <col min="2" max="2" width="2.28515625" style="89" customWidth="1"/>
    <col min="3" max="3" width="56.140625" style="89" bestFit="1" customWidth="1"/>
    <col min="4" max="4" width="5.7109375" style="247" customWidth="1"/>
    <col min="5" max="5" width="15" style="89" bestFit="1" customWidth="1"/>
    <col min="6" max="6" width="9.140625" style="89"/>
    <col min="7" max="7" width="15.140625" style="89" bestFit="1" customWidth="1"/>
    <col min="8" max="16384" width="9.140625" style="89"/>
  </cols>
  <sheetData>
    <row r="1" spans="1:5">
      <c r="C1" s="374" t="s">
        <v>334</v>
      </c>
      <c r="E1" s="102" t="s">
        <v>562</v>
      </c>
    </row>
    <row r="2" spans="1:5">
      <c r="C2" s="371" t="s">
        <v>1001</v>
      </c>
      <c r="E2" s="102" t="s">
        <v>563</v>
      </c>
    </row>
    <row r="3" spans="1:5">
      <c r="C3" s="371" t="s">
        <v>1000</v>
      </c>
    </row>
    <row r="4" spans="1:5">
      <c r="D4" s="371"/>
    </row>
    <row r="5" spans="1:5" ht="38.25">
      <c r="A5" s="105" t="s">
        <v>564</v>
      </c>
      <c r="C5" s="374" t="s">
        <v>7</v>
      </c>
      <c r="D5" s="371"/>
      <c r="E5" s="105" t="s">
        <v>565</v>
      </c>
    </row>
    <row r="6" spans="1:5">
      <c r="A6" s="272">
        <v>-1</v>
      </c>
      <c r="C6" s="109">
        <f>+A6-1</f>
        <v>-2</v>
      </c>
      <c r="D6" s="371"/>
      <c r="E6" s="109">
        <f>+C6-1</f>
        <v>-3</v>
      </c>
    </row>
    <row r="7" spans="1:5">
      <c r="A7" s="109"/>
    </row>
    <row r="8" spans="1:5">
      <c r="A8" s="109">
        <v>1</v>
      </c>
      <c r="C8" s="89" t="s">
        <v>882</v>
      </c>
      <c r="E8" s="111">
        <f>+'Sch 3'!AB24</f>
        <v>1191785492.9804499</v>
      </c>
    </row>
    <row r="9" spans="1:5">
      <c r="A9" s="109"/>
      <c r="E9" s="111"/>
    </row>
    <row r="10" spans="1:5">
      <c r="A10" s="109">
        <f>+A8+1</f>
        <v>2</v>
      </c>
      <c r="C10" s="89" t="s">
        <v>561</v>
      </c>
      <c r="E10" s="116">
        <f>+'2 P1'!K19</f>
        <v>6.4799999999999996E-2</v>
      </c>
    </row>
    <row r="11" spans="1:5">
      <c r="A11" s="109"/>
      <c r="E11" s="273" t="s">
        <v>566</v>
      </c>
    </row>
    <row r="12" spans="1:5" ht="11.25" customHeight="1">
      <c r="A12" s="109">
        <f>+A10+1</f>
        <v>3</v>
      </c>
      <c r="C12" s="89" t="s">
        <v>567</v>
      </c>
      <c r="E12" s="111">
        <f>ROUND(E8*E10,0)</f>
        <v>77227700</v>
      </c>
    </row>
    <row r="13" spans="1:5">
      <c r="A13" s="109"/>
      <c r="E13" s="115"/>
    </row>
    <row r="14" spans="1:5">
      <c r="A14" s="109">
        <f>+A12+1</f>
        <v>4</v>
      </c>
      <c r="C14" s="89" t="s">
        <v>1022</v>
      </c>
      <c r="E14" s="111">
        <f>'Sch 4'!G41</f>
        <v>57888608.656157732</v>
      </c>
    </row>
    <row r="15" spans="1:5">
      <c r="A15" s="109"/>
      <c r="E15" s="273" t="s">
        <v>566</v>
      </c>
    </row>
    <row r="16" spans="1:5">
      <c r="A16" s="109">
        <f>+A14+1</f>
        <v>5</v>
      </c>
      <c r="C16" s="89" t="s">
        <v>568</v>
      </c>
      <c r="E16" s="111">
        <f>+E12-E14</f>
        <v>19339091.343842268</v>
      </c>
    </row>
    <row r="17" spans="1:7">
      <c r="A17" s="109"/>
      <c r="E17" s="115"/>
    </row>
    <row r="18" spans="1:7">
      <c r="A18" s="109">
        <f>+A16+1</f>
        <v>6</v>
      </c>
      <c r="C18" s="89" t="s">
        <v>569</v>
      </c>
      <c r="E18" s="394">
        <f>+'2 P2'!G25</f>
        <v>1.6433416300000001</v>
      </c>
    </row>
    <row r="19" spans="1:7">
      <c r="A19" s="109"/>
      <c r="E19" s="273" t="s">
        <v>566</v>
      </c>
    </row>
    <row r="20" spans="1:7">
      <c r="A20" s="109">
        <f>+A18+1</f>
        <v>7</v>
      </c>
      <c r="C20" s="89" t="s">
        <v>570</v>
      </c>
      <c r="E20" s="111">
        <f>ROUND(E16*E18,0)</f>
        <v>31780734</v>
      </c>
      <c r="G20" s="111"/>
    </row>
    <row r="21" spans="1:7">
      <c r="A21" s="109"/>
      <c r="E21" s="273" t="s">
        <v>572</v>
      </c>
    </row>
    <row r="22" spans="1:7">
      <c r="A22" s="109"/>
      <c r="E22" s="395"/>
    </row>
    <row r="23" spans="1:7">
      <c r="A23" s="109"/>
      <c r="E23" s="248"/>
      <c r="F23" s="409"/>
      <c r="G23" s="396"/>
    </row>
    <row r="24" spans="1:7">
      <c r="A24" s="109"/>
      <c r="E24" s="408"/>
      <c r="G24" s="396"/>
    </row>
    <row r="25" spans="1:7">
      <c r="A25" s="109"/>
      <c r="E25" s="397"/>
    </row>
    <row r="26" spans="1:7">
      <c r="A26" s="109"/>
    </row>
    <row r="27" spans="1:7">
      <c r="A27" s="109"/>
    </row>
    <row r="28" spans="1:7">
      <c r="A28" s="109"/>
    </row>
    <row r="29" spans="1:7">
      <c r="A29" s="109"/>
    </row>
    <row r="30" spans="1:7">
      <c r="A30" s="109"/>
    </row>
    <row r="31" spans="1:7">
      <c r="A31" s="109"/>
    </row>
    <row r="32" spans="1:7">
      <c r="A32" s="109"/>
    </row>
    <row r="33" spans="1:1">
      <c r="A33" s="109"/>
    </row>
    <row r="34" spans="1:1">
      <c r="A34" s="109"/>
    </row>
    <row r="35" spans="1:1">
      <c r="A35" s="109"/>
    </row>
    <row r="36" spans="1:1">
      <c r="A36" s="109"/>
    </row>
    <row r="37" spans="1:1">
      <c r="A37" s="109"/>
    </row>
    <row r="38" spans="1:1">
      <c r="A38" s="109"/>
    </row>
    <row r="39" spans="1:1">
      <c r="A39" s="109"/>
    </row>
    <row r="40" spans="1:1">
      <c r="A40" s="109"/>
    </row>
    <row r="41" spans="1:1">
      <c r="A41" s="109"/>
    </row>
    <row r="45" spans="1:1">
      <c r="A45" s="211"/>
    </row>
    <row r="46" spans="1:1">
      <c r="A46" s="211"/>
    </row>
    <row r="47" spans="1:1">
      <c r="A47" s="211"/>
    </row>
    <row r="48" spans="1:1">
      <c r="A48" s="211"/>
    </row>
  </sheetData>
  <printOptions horizontalCentered="1"/>
  <pageMargins left="0" right="0" top="1" bottom="0.5" header="0" footer="0"/>
  <pageSetup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115" zoomScaleNormal="115" workbookViewId="0">
      <selection activeCell="L25" sqref="L25"/>
    </sheetView>
  </sheetViews>
  <sheetFormatPr defaultColWidth="9.140625" defaultRowHeight="12.75"/>
  <cols>
    <col min="1" max="1" width="4.7109375" style="89" customWidth="1"/>
    <col min="2" max="2" width="3.140625" style="374" customWidth="1"/>
    <col min="3" max="3" width="29.7109375" style="89" bestFit="1" customWidth="1"/>
    <col min="4" max="4" width="2.7109375" style="89" customWidth="1"/>
    <col min="5" max="5" width="15.5703125" style="89" bestFit="1" customWidth="1"/>
    <col min="6" max="6" width="2.7109375" style="89" customWidth="1"/>
    <col min="7" max="7" width="13.7109375" style="89" bestFit="1" customWidth="1"/>
    <col min="8" max="8" width="2.7109375" style="89" customWidth="1"/>
    <col min="9" max="9" width="13.85546875" style="374" bestFit="1" customWidth="1"/>
    <col min="10" max="10" width="4.140625" style="374" customWidth="1"/>
    <col min="11" max="11" width="13.7109375" style="89" bestFit="1" customWidth="1"/>
    <col min="12" max="12" width="2.7109375" style="89" customWidth="1"/>
    <col min="13" max="13" width="10.5703125" style="89" customWidth="1"/>
    <col min="14" max="14" width="2.42578125" style="89" customWidth="1"/>
    <col min="15" max="15" width="12.7109375" style="89" bestFit="1" customWidth="1"/>
    <col min="16" max="16" width="2.7109375" style="89" customWidth="1"/>
    <col min="17" max="17" width="13.7109375" style="89" bestFit="1" customWidth="1"/>
    <col min="18" max="18" width="2.7109375" style="89" customWidth="1"/>
    <col min="19" max="19" width="19" style="89" bestFit="1" customWidth="1"/>
    <col min="20" max="16384" width="9.140625" style="89"/>
  </cols>
  <sheetData>
    <row r="1" spans="1:19">
      <c r="F1" s="374" t="s">
        <v>334</v>
      </c>
      <c r="K1" s="102" t="s">
        <v>562</v>
      </c>
    </row>
    <row r="2" spans="1:19">
      <c r="F2" s="374" t="s">
        <v>573</v>
      </c>
      <c r="K2" s="102" t="s">
        <v>574</v>
      </c>
    </row>
    <row r="3" spans="1:19">
      <c r="F3" s="374" t="s">
        <v>1000</v>
      </c>
      <c r="K3" s="102" t="s">
        <v>575</v>
      </c>
    </row>
    <row r="5" spans="1:19">
      <c r="E5" s="374" t="s">
        <v>576</v>
      </c>
      <c r="I5" s="374" t="s">
        <v>577</v>
      </c>
      <c r="K5" s="374" t="s">
        <v>578</v>
      </c>
    </row>
    <row r="6" spans="1:19">
      <c r="A6" s="374"/>
      <c r="C6" s="374"/>
      <c r="D6" s="374"/>
      <c r="E6" s="374" t="s">
        <v>579</v>
      </c>
      <c r="F6" s="374"/>
      <c r="G6" s="374" t="s">
        <v>580</v>
      </c>
      <c r="H6" s="374"/>
      <c r="I6" s="374" t="s">
        <v>581</v>
      </c>
      <c r="K6" s="374" t="s">
        <v>582</v>
      </c>
      <c r="L6" s="374"/>
      <c r="M6" s="374"/>
      <c r="N6" s="374"/>
      <c r="O6" s="374"/>
      <c r="P6" s="374"/>
      <c r="Q6" s="374"/>
      <c r="R6" s="374"/>
      <c r="S6" s="374"/>
    </row>
    <row r="7" spans="1:19">
      <c r="A7" s="374" t="s">
        <v>2</v>
      </c>
      <c r="C7" s="374"/>
      <c r="D7" s="374"/>
      <c r="E7" s="374" t="s">
        <v>583</v>
      </c>
      <c r="F7" s="374"/>
      <c r="G7" s="374" t="s">
        <v>584</v>
      </c>
      <c r="H7" s="374"/>
      <c r="I7" s="374" t="s">
        <v>580</v>
      </c>
      <c r="K7" s="374" t="s">
        <v>581</v>
      </c>
      <c r="L7" s="374"/>
      <c r="M7" s="374"/>
      <c r="N7" s="374"/>
      <c r="O7" s="374"/>
      <c r="P7" s="374"/>
      <c r="Q7" s="374"/>
      <c r="R7" s="374"/>
      <c r="S7" s="374"/>
    </row>
    <row r="8" spans="1:19">
      <c r="A8" s="233" t="s">
        <v>6</v>
      </c>
      <c r="B8" s="233"/>
      <c r="C8" s="233" t="s">
        <v>7</v>
      </c>
      <c r="D8" s="233"/>
      <c r="E8" s="233" t="s">
        <v>585</v>
      </c>
      <c r="F8" s="233"/>
      <c r="G8" s="233" t="s">
        <v>448</v>
      </c>
      <c r="H8" s="233"/>
      <c r="I8" s="233" t="s">
        <v>586</v>
      </c>
      <c r="J8" s="233"/>
      <c r="K8" s="233" t="s">
        <v>587</v>
      </c>
      <c r="L8" s="233"/>
      <c r="M8" s="233"/>
      <c r="N8" s="233"/>
      <c r="O8" s="233"/>
      <c r="P8" s="233"/>
      <c r="Q8" s="233"/>
      <c r="R8" s="233"/>
      <c r="S8" s="233"/>
    </row>
    <row r="9" spans="1:19">
      <c r="A9" s="253">
        <v>-1</v>
      </c>
      <c r="B9" s="253"/>
      <c r="C9" s="253">
        <v>-2</v>
      </c>
      <c r="D9" s="253"/>
      <c r="E9" s="253">
        <v>-3</v>
      </c>
      <c r="F9" s="253"/>
      <c r="G9" s="253">
        <v>-4</v>
      </c>
      <c r="H9" s="253"/>
      <c r="I9" s="253">
        <v>-5</v>
      </c>
      <c r="J9" s="253"/>
      <c r="K9" s="105" t="s">
        <v>588</v>
      </c>
      <c r="L9" s="253"/>
      <c r="M9" s="253"/>
      <c r="N9" s="253"/>
      <c r="O9" s="253" t="s">
        <v>1040</v>
      </c>
      <c r="P9" s="253"/>
      <c r="Q9" s="253"/>
      <c r="R9" s="253"/>
      <c r="S9" s="253"/>
    </row>
    <row r="10" spans="1:19">
      <c r="A10" s="254"/>
      <c r="B10" s="253"/>
      <c r="C10" s="254"/>
      <c r="D10" s="254"/>
      <c r="E10" s="254"/>
      <c r="F10" s="254"/>
      <c r="G10" s="254"/>
      <c r="H10" s="254"/>
      <c r="I10" s="253"/>
      <c r="J10" s="253"/>
      <c r="K10" s="254"/>
      <c r="L10" s="254"/>
      <c r="M10" s="254"/>
      <c r="N10" s="254"/>
      <c r="O10" s="254"/>
      <c r="P10" s="254"/>
      <c r="Q10" s="254"/>
      <c r="R10" s="254"/>
      <c r="S10" s="254"/>
    </row>
    <row r="11" spans="1:19">
      <c r="A11" s="374">
        <v>1</v>
      </c>
      <c r="C11" s="89" t="s">
        <v>589</v>
      </c>
      <c r="E11" s="111">
        <f>+'Sch 3'!AB12</f>
        <v>648913758.21106756</v>
      </c>
      <c r="F11" s="111"/>
      <c r="G11" s="114">
        <f>ROUND(E11/$E$19,5)-0.01</f>
        <v>0.53449000000000002</v>
      </c>
      <c r="H11" s="111"/>
      <c r="I11" s="268">
        <f>+'3 P1'!S37</f>
        <v>4.36E-2</v>
      </c>
      <c r="J11" s="371" t="s">
        <v>590</v>
      </c>
      <c r="K11" s="114">
        <f>ROUND(G11*I11,4)</f>
        <v>2.3300000000000001E-2</v>
      </c>
      <c r="L11" s="111"/>
      <c r="M11" s="403">
        <f>1+('2 P2'!G11+'2 P2'!G12)</f>
        <v>1.005396</v>
      </c>
      <c r="N11" s="111"/>
      <c r="O11" s="114">
        <f>M11*K11</f>
        <v>2.3425726800000001E-2</v>
      </c>
      <c r="P11" s="111"/>
      <c r="Q11" s="111"/>
      <c r="R11" s="111"/>
      <c r="S11" s="111"/>
    </row>
    <row r="12" spans="1:19">
      <c r="A12" s="374"/>
      <c r="E12" s="111"/>
      <c r="F12" s="111"/>
      <c r="G12" s="114"/>
      <c r="H12" s="111"/>
      <c r="I12" s="252"/>
      <c r="J12" s="371"/>
      <c r="K12" s="114"/>
      <c r="L12" s="111"/>
      <c r="M12" s="111"/>
      <c r="N12" s="111"/>
      <c r="O12" s="114"/>
      <c r="P12" s="111"/>
      <c r="Q12" s="111"/>
      <c r="R12" s="111"/>
      <c r="S12" s="111"/>
    </row>
    <row r="13" spans="1:19">
      <c r="A13" s="374">
        <v>2</v>
      </c>
      <c r="C13" s="89" t="s">
        <v>591</v>
      </c>
      <c r="E13" s="38">
        <f>+'Sch 3'!AB14</f>
        <v>0</v>
      </c>
      <c r="F13" s="38"/>
      <c r="G13" s="404">
        <v>0.01</v>
      </c>
      <c r="H13" s="405"/>
      <c r="I13" s="406">
        <v>1.2500000000000001E-2</v>
      </c>
      <c r="J13" s="371" t="s">
        <v>592</v>
      </c>
      <c r="K13" s="114">
        <f>ROUND(G13*I13,4)</f>
        <v>1E-4</v>
      </c>
      <c r="L13" s="38"/>
      <c r="M13" s="403">
        <f>M11</f>
        <v>1.005396</v>
      </c>
      <c r="N13" s="38"/>
      <c r="O13" s="114">
        <f>M13*K13</f>
        <v>1.005396E-4</v>
      </c>
      <c r="P13" s="38"/>
      <c r="Q13" s="38"/>
      <c r="R13" s="38"/>
      <c r="S13" s="38"/>
    </row>
    <row r="14" spans="1:19">
      <c r="A14" s="374"/>
      <c r="E14" s="38"/>
      <c r="F14" s="38"/>
      <c r="G14" s="114"/>
      <c r="H14" s="38"/>
      <c r="I14" s="109"/>
      <c r="J14" s="371"/>
      <c r="K14" s="114"/>
      <c r="L14" s="38"/>
      <c r="M14" s="38"/>
      <c r="N14" s="38"/>
      <c r="O14" s="114"/>
      <c r="P14" s="38"/>
      <c r="Q14" s="38"/>
      <c r="R14" s="38"/>
      <c r="S14" s="38"/>
    </row>
    <row r="15" spans="1:19">
      <c r="A15" s="374">
        <v>3</v>
      </c>
      <c r="C15" s="89" t="s">
        <v>593</v>
      </c>
      <c r="E15" s="38">
        <f>+'Sch 3'!AB16</f>
        <v>46105008.994999997</v>
      </c>
      <c r="F15" s="38"/>
      <c r="G15" s="114">
        <f>ROUND(E15/$E$19,5)</f>
        <v>3.8690000000000002E-2</v>
      </c>
      <c r="H15" s="38"/>
      <c r="I15" s="268">
        <v>1.95E-2</v>
      </c>
      <c r="J15" s="371" t="s">
        <v>594</v>
      </c>
      <c r="K15" s="114">
        <f>ROUND(G15*I15,4)</f>
        <v>8.0000000000000004E-4</v>
      </c>
      <c r="L15" s="38"/>
      <c r="M15" s="403">
        <f>M11</f>
        <v>1.005396</v>
      </c>
      <c r="N15" s="38"/>
      <c r="O15" s="114">
        <f>M15*K15</f>
        <v>8.0431679999999996E-4</v>
      </c>
      <c r="P15" s="38"/>
      <c r="Q15" s="38"/>
      <c r="R15" s="38"/>
      <c r="S15" s="38"/>
    </row>
    <row r="16" spans="1:19">
      <c r="A16" s="374"/>
      <c r="E16" s="38"/>
      <c r="F16" s="38"/>
      <c r="G16" s="114"/>
      <c r="H16" s="38"/>
      <c r="I16" s="109"/>
      <c r="J16" s="371"/>
      <c r="K16" s="114"/>
      <c r="L16" s="38"/>
      <c r="M16" s="38"/>
      <c r="N16" s="38"/>
      <c r="O16" s="114"/>
      <c r="P16" s="38"/>
      <c r="Q16" s="38"/>
      <c r="R16" s="38"/>
      <c r="S16" s="38"/>
    </row>
    <row r="17" spans="1:19">
      <c r="A17" s="374">
        <v>4</v>
      </c>
      <c r="C17" s="89" t="s">
        <v>595</v>
      </c>
      <c r="E17" s="38">
        <f>+'Sch 3'!AB18</f>
        <v>496766725.77438235</v>
      </c>
      <c r="F17" s="38"/>
      <c r="G17" s="114">
        <f>ROUND(E17/$E$19,5)</f>
        <v>0.41682999999999998</v>
      </c>
      <c r="H17" s="38"/>
      <c r="I17" s="410">
        <v>9.7500000000000003E-2</v>
      </c>
      <c r="J17" s="371" t="s">
        <v>596</v>
      </c>
      <c r="K17" s="114">
        <f>ROUND(G17*I17,4)</f>
        <v>4.0599999999999997E-2</v>
      </c>
      <c r="L17" s="38"/>
      <c r="M17" s="403">
        <f>'Sch 2'!E18</f>
        <v>1.6433416300000001</v>
      </c>
      <c r="N17" s="38"/>
      <c r="O17" s="114">
        <f>M17*K17</f>
        <v>6.6719670177999998E-2</v>
      </c>
      <c r="P17" s="38"/>
      <c r="Q17" s="38"/>
      <c r="R17" s="38"/>
      <c r="S17" s="38"/>
    </row>
    <row r="18" spans="1:19">
      <c r="A18" s="374"/>
      <c r="E18" s="371" t="s">
        <v>597</v>
      </c>
      <c r="F18" s="252"/>
      <c r="G18" s="371" t="s">
        <v>597</v>
      </c>
      <c r="H18" s="252"/>
      <c r="I18" s="371"/>
      <c r="J18" s="371"/>
      <c r="K18" s="371" t="s">
        <v>597</v>
      </c>
      <c r="L18" s="252"/>
      <c r="M18" s="371"/>
      <c r="N18" s="252"/>
      <c r="O18" s="401"/>
      <c r="P18" s="252"/>
      <c r="Q18" s="371"/>
      <c r="R18" s="252"/>
      <c r="S18" s="112"/>
    </row>
    <row r="19" spans="1:19">
      <c r="A19" s="374">
        <v>5</v>
      </c>
      <c r="C19" s="89" t="s">
        <v>448</v>
      </c>
      <c r="E19" s="111">
        <f>SUM(E11:E17)</f>
        <v>1191785492.9804499</v>
      </c>
      <c r="F19" s="38"/>
      <c r="G19" s="114">
        <f>SUM(G11:G18)</f>
        <v>1.0000100000000001</v>
      </c>
      <c r="H19" s="38"/>
      <c r="I19" s="109"/>
      <c r="J19" s="371"/>
      <c r="K19" s="116">
        <f>SUM(K11:K18)</f>
        <v>6.4799999999999996E-2</v>
      </c>
      <c r="L19" s="38"/>
      <c r="M19" s="38"/>
      <c r="N19" s="38"/>
      <c r="O19" s="411">
        <f>SUM(O11:O18)</f>
        <v>9.1050253378000004E-2</v>
      </c>
      <c r="P19" s="38"/>
      <c r="Q19" s="38"/>
      <c r="R19" s="38"/>
      <c r="S19" s="38"/>
    </row>
    <row r="20" spans="1:19">
      <c r="A20" s="374"/>
      <c r="E20" s="371" t="s">
        <v>598</v>
      </c>
      <c r="F20" s="38"/>
      <c r="G20" s="371" t="s">
        <v>598</v>
      </c>
      <c r="H20" s="38"/>
      <c r="I20" s="109"/>
      <c r="J20" s="371"/>
      <c r="K20" s="371" t="s">
        <v>598</v>
      </c>
      <c r="L20" s="38"/>
      <c r="M20" s="38"/>
      <c r="N20" s="38"/>
      <c r="O20" s="401"/>
      <c r="P20" s="38"/>
      <c r="Q20" s="38"/>
      <c r="R20" s="38"/>
      <c r="S20" s="38"/>
    </row>
    <row r="21" spans="1:19">
      <c r="A21" s="374"/>
      <c r="E21" s="38"/>
      <c r="F21" s="38"/>
      <c r="G21" s="114"/>
      <c r="H21" s="38"/>
      <c r="I21" s="109"/>
      <c r="J21" s="109"/>
      <c r="K21" s="38"/>
      <c r="L21" s="38"/>
      <c r="M21" s="38"/>
      <c r="N21" s="38"/>
      <c r="O21" s="38"/>
      <c r="P21" s="38"/>
      <c r="Q21" s="38"/>
      <c r="R21" s="38"/>
      <c r="S21" s="38"/>
    </row>
    <row r="22" spans="1:19">
      <c r="A22" s="374"/>
      <c r="E22" s="371"/>
      <c r="F22" s="252"/>
      <c r="G22" s="269"/>
      <c r="H22" s="252"/>
      <c r="I22" s="371"/>
      <c r="J22" s="252"/>
      <c r="K22" s="111"/>
      <c r="L22" s="252"/>
      <c r="M22" s="371"/>
      <c r="N22" s="252"/>
      <c r="O22" s="371"/>
      <c r="P22" s="252"/>
      <c r="Q22" s="371"/>
      <c r="R22" s="252"/>
      <c r="S22" s="112"/>
    </row>
    <row r="23" spans="1:19">
      <c r="A23" s="374"/>
      <c r="B23" s="371" t="s">
        <v>599</v>
      </c>
      <c r="C23" s="89" t="s">
        <v>984</v>
      </c>
      <c r="E23" s="111"/>
      <c r="F23" s="111"/>
      <c r="G23" s="270"/>
      <c r="H23" s="111"/>
      <c r="I23" s="252"/>
      <c r="J23" s="252"/>
      <c r="L23" s="111"/>
      <c r="M23" s="111"/>
      <c r="N23" s="111"/>
      <c r="O23" s="111"/>
      <c r="P23" s="111"/>
      <c r="Q23" s="111"/>
      <c r="R23" s="111"/>
      <c r="S23" s="111"/>
    </row>
    <row r="24" spans="1:19">
      <c r="A24" s="374"/>
      <c r="B24" s="371" t="s">
        <v>590</v>
      </c>
      <c r="C24" s="89" t="s">
        <v>872</v>
      </c>
      <c r="E24" s="371"/>
      <c r="F24" s="374"/>
      <c r="G24" s="371"/>
      <c r="H24" s="374"/>
      <c r="I24" s="371"/>
      <c r="K24" s="371"/>
      <c r="L24" s="374"/>
      <c r="M24" s="371"/>
      <c r="N24" s="374"/>
      <c r="O24" s="371"/>
      <c r="P24" s="374"/>
      <c r="Q24" s="371"/>
      <c r="R24" s="374"/>
      <c r="S24" s="112"/>
    </row>
    <row r="25" spans="1:19">
      <c r="A25" s="374"/>
      <c r="B25" s="371" t="s">
        <v>592</v>
      </c>
      <c r="C25" s="89" t="s">
        <v>600</v>
      </c>
      <c r="E25" s="371"/>
      <c r="F25" s="374"/>
      <c r="G25" s="371"/>
      <c r="H25" s="374"/>
      <c r="I25" s="371"/>
      <c r="K25" s="371"/>
      <c r="L25" s="374"/>
      <c r="M25" s="371"/>
      <c r="N25" s="374"/>
      <c r="O25" s="371"/>
      <c r="P25" s="374"/>
      <c r="Q25" s="371"/>
      <c r="R25" s="374"/>
      <c r="S25" s="112"/>
    </row>
    <row r="26" spans="1:19">
      <c r="A26" s="374"/>
      <c r="B26" s="371" t="s">
        <v>601</v>
      </c>
      <c r="C26" s="89" t="s">
        <v>602</v>
      </c>
      <c r="E26" s="232"/>
    </row>
    <row r="27" spans="1:19">
      <c r="A27" s="374"/>
      <c r="B27" s="371" t="s">
        <v>594</v>
      </c>
      <c r="C27" s="89" t="s">
        <v>833</v>
      </c>
    </row>
    <row r="28" spans="1:19">
      <c r="A28" s="374"/>
      <c r="B28" s="371" t="s">
        <v>596</v>
      </c>
      <c r="C28" s="89" t="s">
        <v>959</v>
      </c>
    </row>
    <row r="29" spans="1:19">
      <c r="B29" s="371"/>
    </row>
    <row r="30" spans="1:19">
      <c r="B30" s="371"/>
    </row>
    <row r="31" spans="1:19">
      <c r="B31" s="371"/>
    </row>
    <row r="32" spans="1:19">
      <c r="B32" s="371"/>
    </row>
    <row r="33" spans="2:2">
      <c r="B33" s="371"/>
    </row>
  </sheetData>
  <printOptions horizontalCentered="1"/>
  <pageMargins left="0.75" right="0" top="1" bottom="0.5" header="0" footer="0"/>
  <pageSetup scale="8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pane ySplit="7" topLeftCell="A8" activePane="bottomLeft" state="frozen"/>
      <selection pane="bottomLeft" activeCell="L19" sqref="L19:L20"/>
    </sheetView>
  </sheetViews>
  <sheetFormatPr defaultColWidth="9.140625" defaultRowHeight="12.75"/>
  <cols>
    <col min="1" max="1" width="4.42578125" style="374" bestFit="1" customWidth="1"/>
    <col min="2" max="2" width="2.28515625" style="89" customWidth="1"/>
    <col min="3" max="3" width="42.5703125" style="89" bestFit="1" customWidth="1"/>
    <col min="4" max="4" width="8.7109375" style="247" customWidth="1"/>
    <col min="5" max="5" width="10.28515625" style="89" bestFit="1" customWidth="1"/>
    <col min="6" max="6" width="2.28515625" style="89" customWidth="1"/>
    <col min="7" max="7" width="20.42578125" style="89" bestFit="1" customWidth="1"/>
    <col min="8" max="8" width="2.28515625" style="89" customWidth="1"/>
    <col min="9" max="9" width="20.5703125" style="89" bestFit="1" customWidth="1"/>
    <col min="10" max="10" width="11.28515625" style="89" bestFit="1" customWidth="1"/>
    <col min="11" max="16384" width="9.140625" style="89"/>
  </cols>
  <sheetData>
    <row r="1" spans="1:10">
      <c r="C1" s="417" t="s">
        <v>334</v>
      </c>
      <c r="D1" s="418"/>
      <c r="E1" s="418"/>
      <c r="F1" s="372"/>
      <c r="G1" s="102" t="s">
        <v>562</v>
      </c>
    </row>
    <row r="2" spans="1:10">
      <c r="C2" s="417" t="s">
        <v>1002</v>
      </c>
      <c r="D2" s="418"/>
      <c r="E2" s="418"/>
      <c r="F2" s="372"/>
      <c r="G2" s="102" t="s">
        <v>574</v>
      </c>
    </row>
    <row r="3" spans="1:10">
      <c r="C3" s="417" t="s">
        <v>1003</v>
      </c>
      <c r="D3" s="418"/>
      <c r="E3" s="418"/>
      <c r="F3" s="372"/>
      <c r="G3" s="102" t="s">
        <v>603</v>
      </c>
    </row>
    <row r="4" spans="1:10">
      <c r="C4" s="417" t="s">
        <v>1004</v>
      </c>
      <c r="D4" s="418"/>
      <c r="E4" s="418"/>
      <c r="F4" s="372"/>
    </row>
    <row r="5" spans="1:10">
      <c r="D5" s="371"/>
    </row>
    <row r="6" spans="1:10" ht="38.25">
      <c r="A6" s="105" t="s">
        <v>564</v>
      </c>
      <c r="C6" s="374" t="s">
        <v>7</v>
      </c>
      <c r="D6" s="371"/>
      <c r="E6" s="105"/>
      <c r="F6" s="105"/>
      <c r="G6" s="105" t="s">
        <v>565</v>
      </c>
    </row>
    <row r="7" spans="1:10">
      <c r="A7" s="272">
        <v>-1</v>
      </c>
      <c r="C7" s="109">
        <f>+A7-1</f>
        <v>-2</v>
      </c>
      <c r="D7" s="371"/>
      <c r="E7" s="109"/>
      <c r="F7" s="109"/>
      <c r="G7" s="109">
        <f>+C7-1</f>
        <v>-3</v>
      </c>
      <c r="I7" s="89" t="s">
        <v>1041</v>
      </c>
    </row>
    <row r="8" spans="1:10">
      <c r="A8" s="109"/>
    </row>
    <row r="9" spans="1:10">
      <c r="A9" s="109">
        <v>1</v>
      </c>
      <c r="C9" s="89" t="s">
        <v>543</v>
      </c>
      <c r="E9" s="111"/>
      <c r="F9" s="111"/>
      <c r="G9" s="114">
        <v>1</v>
      </c>
      <c r="I9" s="114">
        <v>1</v>
      </c>
    </row>
    <row r="10" spans="1:10">
      <c r="A10" s="109"/>
      <c r="E10" s="111"/>
      <c r="F10" s="111"/>
      <c r="G10" s="114"/>
      <c r="I10" s="114"/>
    </row>
    <row r="11" spans="1:10">
      <c r="A11" s="109">
        <f>+A9+1</f>
        <v>2</v>
      </c>
      <c r="C11" s="89" t="s">
        <v>604</v>
      </c>
      <c r="E11" s="111"/>
      <c r="F11" s="111"/>
      <c r="G11" s="274">
        <f>+'2 P3'!G19</f>
        <v>3.3999999999999998E-3</v>
      </c>
      <c r="I11" s="274">
        <f>G11</f>
        <v>3.3999999999999998E-3</v>
      </c>
    </row>
    <row r="12" spans="1:10">
      <c r="A12" s="109">
        <f>+A11+1</f>
        <v>3</v>
      </c>
      <c r="C12" s="89" t="s">
        <v>605</v>
      </c>
      <c r="E12" s="111"/>
      <c r="F12" s="111"/>
      <c r="G12" s="402">
        <v>1.9959999999999999E-3</v>
      </c>
      <c r="I12" s="402">
        <v>1.9959999999999999E-3</v>
      </c>
      <c r="J12" s="89" t="s">
        <v>1037</v>
      </c>
    </row>
    <row r="13" spans="1:10">
      <c r="A13" s="109"/>
      <c r="E13" s="111"/>
      <c r="F13" s="111"/>
      <c r="G13" s="273" t="s">
        <v>566</v>
      </c>
      <c r="I13" s="273" t="s">
        <v>566</v>
      </c>
    </row>
    <row r="14" spans="1:10">
      <c r="A14" s="109">
        <f>+A12+1</f>
        <v>4</v>
      </c>
      <c r="C14" s="89" t="s">
        <v>606</v>
      </c>
      <c r="E14" s="111"/>
      <c r="F14" s="111"/>
      <c r="G14" s="274">
        <f>+G9-G11-G12</f>
        <v>0.99460400000000004</v>
      </c>
      <c r="I14" s="274">
        <f>+I9-I11-I12</f>
        <v>0.99460400000000004</v>
      </c>
    </row>
    <row r="15" spans="1:10">
      <c r="A15" s="109"/>
      <c r="E15" s="112"/>
      <c r="F15" s="112"/>
      <c r="G15" s="273"/>
      <c r="I15" s="273"/>
    </row>
    <row r="16" spans="1:10">
      <c r="A16" s="109">
        <f>+A14+1</f>
        <v>5</v>
      </c>
      <c r="C16" s="89" t="s">
        <v>985</v>
      </c>
      <c r="E16" s="276">
        <f>+G53</f>
        <v>5.8742210000000003E-2</v>
      </c>
      <c r="F16" s="274"/>
      <c r="G16" s="365">
        <f>G14*E16</f>
        <v>5.8425237034840004E-2</v>
      </c>
      <c r="I16" s="365">
        <f>I14*E16</f>
        <v>5.8425237034840004E-2</v>
      </c>
      <c r="J16" s="274"/>
    </row>
    <row r="17" spans="1:10">
      <c r="A17" s="109"/>
      <c r="E17" s="112"/>
      <c r="F17" s="112"/>
      <c r="G17" s="273" t="s">
        <v>566</v>
      </c>
      <c r="I17" s="273" t="s">
        <v>566</v>
      </c>
    </row>
    <row r="18" spans="1:10">
      <c r="A18" s="109"/>
      <c r="E18" s="112"/>
      <c r="F18" s="112"/>
      <c r="G18" s="273"/>
      <c r="I18" s="273"/>
    </row>
    <row r="19" spans="1:10">
      <c r="A19" s="109">
        <f>+A16+1</f>
        <v>6</v>
      </c>
      <c r="C19" s="89" t="s">
        <v>607</v>
      </c>
      <c r="E19" s="111"/>
      <c r="F19" s="111"/>
      <c r="G19" s="274">
        <f>+G14-G16</f>
        <v>0.93617876296516001</v>
      </c>
      <c r="I19" s="274">
        <f>+I14-I16</f>
        <v>0.93617876296516001</v>
      </c>
    </row>
    <row r="20" spans="1:10">
      <c r="A20" s="109"/>
      <c r="E20" s="112"/>
      <c r="F20" s="112"/>
      <c r="G20" s="273"/>
      <c r="I20" s="273"/>
    </row>
    <row r="21" spans="1:10">
      <c r="A21" s="109">
        <f t="shared" ref="A21:A25" si="0">+A19+1</f>
        <v>7</v>
      </c>
      <c r="C21" s="89" t="s">
        <v>608</v>
      </c>
      <c r="E21" s="114">
        <v>0.35</v>
      </c>
      <c r="F21" s="114"/>
      <c r="G21" s="274">
        <f>G19*E21</f>
        <v>0.327662567037806</v>
      </c>
      <c r="I21" s="390">
        <f>I19*0</f>
        <v>0</v>
      </c>
      <c r="J21" s="274"/>
    </row>
    <row r="22" spans="1:10">
      <c r="A22" s="109"/>
      <c r="E22" s="111"/>
      <c r="F22" s="111"/>
      <c r="G22" s="114"/>
      <c r="I22" s="114"/>
    </row>
    <row r="23" spans="1:10">
      <c r="A23" s="109">
        <f t="shared" si="0"/>
        <v>8</v>
      </c>
      <c r="C23" s="89" t="s">
        <v>609</v>
      </c>
      <c r="E23" s="111"/>
      <c r="F23" s="111"/>
      <c r="G23" s="274">
        <f>+G19-G21</f>
        <v>0.60851619592735395</v>
      </c>
      <c r="I23" s="274">
        <f>+I19-I21</f>
        <v>0.93617876296516001</v>
      </c>
      <c r="J23" s="274"/>
    </row>
    <row r="24" spans="1:10">
      <c r="A24" s="109"/>
      <c r="E24" s="111"/>
      <c r="F24" s="111"/>
      <c r="G24" s="273" t="s">
        <v>566</v>
      </c>
      <c r="I24" s="273" t="s">
        <v>566</v>
      </c>
    </row>
    <row r="25" spans="1:10">
      <c r="A25" s="109">
        <f t="shared" si="0"/>
        <v>9</v>
      </c>
      <c r="C25" s="89" t="s">
        <v>610</v>
      </c>
      <c r="E25" s="111"/>
      <c r="F25" s="111"/>
      <c r="G25" s="3">
        <f>ROUND(100/G23/100,8)</f>
        <v>1.6433416300000001</v>
      </c>
      <c r="I25" s="3">
        <f>ROUND(100/I23/100,8)</f>
        <v>1.06817206</v>
      </c>
      <c r="J25" s="399"/>
    </row>
    <row r="26" spans="1:10">
      <c r="A26" s="109"/>
      <c r="E26" s="111"/>
      <c r="F26" s="111"/>
      <c r="G26" s="273" t="s">
        <v>572</v>
      </c>
      <c r="I26" s="273" t="s">
        <v>572</v>
      </c>
    </row>
    <row r="27" spans="1:10">
      <c r="A27" s="109"/>
      <c r="E27" s="111"/>
      <c r="F27" s="111"/>
    </row>
    <row r="28" spans="1:10">
      <c r="A28" s="109"/>
      <c r="E28" s="111"/>
      <c r="F28" s="111"/>
    </row>
    <row r="29" spans="1:10">
      <c r="A29" s="109"/>
      <c r="C29" s="89" t="s">
        <v>611</v>
      </c>
      <c r="E29" s="111"/>
      <c r="F29" s="111"/>
    </row>
    <row r="30" spans="1:10">
      <c r="A30" s="109"/>
      <c r="E30" s="111"/>
      <c r="F30" s="111"/>
    </row>
    <row r="31" spans="1:10">
      <c r="A31" s="109"/>
      <c r="C31" s="89" t="s">
        <v>612</v>
      </c>
      <c r="E31" s="111"/>
      <c r="F31" s="111"/>
    </row>
    <row r="32" spans="1:10">
      <c r="A32" s="109"/>
    </row>
    <row r="33" spans="1:7">
      <c r="A33" s="109"/>
      <c r="C33" s="89" t="s">
        <v>613</v>
      </c>
      <c r="E33" s="114">
        <v>7.7499999999999999E-2</v>
      </c>
    </row>
    <row r="34" spans="1:7">
      <c r="A34" s="109"/>
      <c r="C34" s="89" t="s">
        <v>614</v>
      </c>
      <c r="E34" s="274">
        <v>1.8069999999999999E-2</v>
      </c>
    </row>
    <row r="35" spans="1:7">
      <c r="A35" s="109"/>
      <c r="E35" s="112" t="s">
        <v>615</v>
      </c>
    </row>
    <row r="36" spans="1:7">
      <c r="A36" s="109"/>
      <c r="C36" s="89" t="s">
        <v>616</v>
      </c>
      <c r="E36" s="114"/>
      <c r="G36" s="275">
        <f>ROUND(E33*E34,8)</f>
        <v>1.40043E-3</v>
      </c>
    </row>
    <row r="37" spans="1:7">
      <c r="A37" s="109"/>
      <c r="E37" s="114"/>
    </row>
    <row r="38" spans="1:7">
      <c r="A38" s="109"/>
      <c r="C38" s="89" t="s">
        <v>617</v>
      </c>
      <c r="E38" s="114">
        <v>0.06</v>
      </c>
    </row>
    <row r="39" spans="1:7">
      <c r="A39" s="109"/>
      <c r="C39" s="89" t="s">
        <v>614</v>
      </c>
      <c r="E39" s="274">
        <v>0.72063500000000003</v>
      </c>
    </row>
    <row r="40" spans="1:7">
      <c r="A40" s="109"/>
      <c r="E40" s="112" t="s">
        <v>615</v>
      </c>
    </row>
    <row r="41" spans="1:7" ht="25.9" customHeight="1">
      <c r="A41" s="109"/>
      <c r="C41" s="89" t="s">
        <v>618</v>
      </c>
      <c r="G41" s="275">
        <f>ROUND(E38*E39,8)</f>
        <v>4.3238100000000002E-2</v>
      </c>
    </row>
    <row r="42" spans="1:7">
      <c r="A42" s="109"/>
    </row>
    <row r="43" spans="1:7">
      <c r="A43" s="109"/>
      <c r="C43" s="89" t="s">
        <v>619</v>
      </c>
      <c r="E43" s="114">
        <v>0.06</v>
      </c>
      <c r="F43" s="114"/>
      <c r="G43" s="114"/>
    </row>
    <row r="44" spans="1:7">
      <c r="A44" s="109"/>
      <c r="C44" s="89" t="s">
        <v>614</v>
      </c>
      <c r="E44" s="274">
        <v>8.3600000000000005E-4</v>
      </c>
      <c r="F44" s="114"/>
      <c r="G44" s="114"/>
    </row>
    <row r="45" spans="1:7">
      <c r="A45" s="109"/>
      <c r="E45" s="112" t="s">
        <v>615</v>
      </c>
      <c r="F45" s="112"/>
      <c r="G45" s="114"/>
    </row>
    <row r="46" spans="1:7">
      <c r="A46" s="109"/>
      <c r="C46" s="89" t="s">
        <v>620</v>
      </c>
      <c r="E46" s="114"/>
      <c r="F46" s="114"/>
      <c r="G46" s="276">
        <f>ROUND(E43*E44,8)</f>
        <v>5.0160000000000001E-5</v>
      </c>
    </row>
    <row r="47" spans="1:7">
      <c r="A47" s="109"/>
      <c r="E47" s="114"/>
      <c r="F47" s="114"/>
      <c r="G47" s="274"/>
    </row>
    <row r="48" spans="1:7">
      <c r="A48" s="109"/>
      <c r="C48" s="89" t="s">
        <v>621</v>
      </c>
      <c r="E48" s="114">
        <v>6.5000000000000002E-2</v>
      </c>
      <c r="F48" s="114"/>
      <c r="G48" s="274"/>
    </row>
    <row r="49" spans="1:7">
      <c r="A49" s="109"/>
      <c r="C49" s="89" t="s">
        <v>614</v>
      </c>
      <c r="E49" s="274">
        <v>0.21620800000000001</v>
      </c>
      <c r="F49" s="274"/>
      <c r="G49" s="274"/>
    </row>
    <row r="50" spans="1:7">
      <c r="A50" s="109"/>
      <c r="E50" s="112" t="s">
        <v>615</v>
      </c>
      <c r="F50" s="112"/>
      <c r="G50" s="274"/>
    </row>
    <row r="51" spans="1:7">
      <c r="A51" s="109"/>
      <c r="C51" s="89" t="s">
        <v>622</v>
      </c>
      <c r="E51" s="114"/>
      <c r="F51" s="114"/>
      <c r="G51" s="276">
        <f>ROUND(E48*E49,8)</f>
        <v>1.405352E-2</v>
      </c>
    </row>
    <row r="52" spans="1:7">
      <c r="E52" s="114"/>
      <c r="F52" s="114"/>
      <c r="G52" s="277" t="s">
        <v>615</v>
      </c>
    </row>
    <row r="53" spans="1:7">
      <c r="A53" s="211"/>
      <c r="C53" s="89" t="s">
        <v>623</v>
      </c>
      <c r="E53" s="114"/>
      <c r="F53" s="114"/>
      <c r="G53" s="276">
        <f>ROUND(SUM(G36:G52),8)</f>
        <v>5.8742210000000003E-2</v>
      </c>
    </row>
    <row r="54" spans="1:7">
      <c r="A54" s="211"/>
      <c r="E54" s="114"/>
      <c r="F54" s="114"/>
      <c r="G54" s="112" t="s">
        <v>474</v>
      </c>
    </row>
    <row r="55" spans="1:7">
      <c r="A55" s="211"/>
      <c r="E55" s="114"/>
      <c r="F55" s="114"/>
      <c r="G55" s="114"/>
    </row>
    <row r="56" spans="1:7">
      <c r="A56" s="211"/>
      <c r="E56" s="114"/>
      <c r="F56" s="114"/>
      <c r="G56" s="114"/>
    </row>
    <row r="57" spans="1:7">
      <c r="E57" s="114"/>
      <c r="F57" s="114"/>
      <c r="G57" s="114"/>
    </row>
    <row r="58" spans="1:7">
      <c r="E58" s="114"/>
      <c r="F58" s="114"/>
      <c r="G58" s="114"/>
    </row>
    <row r="59" spans="1:7">
      <c r="E59" s="114"/>
      <c r="F59" s="114"/>
      <c r="G59" s="114"/>
    </row>
    <row r="60" spans="1:7">
      <c r="E60" s="114"/>
      <c r="F60" s="114"/>
      <c r="G60" s="114"/>
    </row>
    <row r="61" spans="1:7">
      <c r="E61" s="114"/>
      <c r="F61" s="114"/>
      <c r="G61" s="114"/>
    </row>
    <row r="62" spans="1:7">
      <c r="E62" s="114"/>
      <c r="F62" s="114"/>
      <c r="G62" s="114"/>
    </row>
    <row r="63" spans="1:7">
      <c r="E63" s="114"/>
      <c r="F63" s="114"/>
      <c r="G63" s="114"/>
    </row>
    <row r="64" spans="1:7">
      <c r="E64" s="114"/>
      <c r="F64" s="114"/>
      <c r="G64" s="114"/>
    </row>
    <row r="65" spans="5:7">
      <c r="E65" s="114"/>
      <c r="F65" s="114"/>
      <c r="G65" s="114"/>
    </row>
    <row r="66" spans="5:7">
      <c r="E66" s="114"/>
      <c r="F66" s="114"/>
      <c r="G66" s="114"/>
    </row>
    <row r="67" spans="5:7">
      <c r="E67" s="114"/>
      <c r="F67" s="114"/>
      <c r="G67" s="114"/>
    </row>
  </sheetData>
  <mergeCells count="4">
    <mergeCell ref="C1:E1"/>
    <mergeCell ref="C2:E2"/>
    <mergeCell ref="C3:E3"/>
    <mergeCell ref="C4:E4"/>
  </mergeCells>
  <printOptions horizontalCentered="1"/>
  <pageMargins left="0" right="0" top="1" bottom="0.5" header="0" footer="0"/>
  <pageSetup scale="9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pane ySplit="9" topLeftCell="A10" activePane="bottomLeft" state="frozen"/>
      <selection activeCell="L31" sqref="L31"/>
      <selection pane="bottomLeft" activeCell="E28" sqref="E28"/>
    </sheetView>
  </sheetViews>
  <sheetFormatPr defaultColWidth="9.140625" defaultRowHeight="12.75"/>
  <cols>
    <col min="1" max="1" width="4.42578125" style="266" bestFit="1" customWidth="1"/>
    <col min="2" max="2" width="2.28515625" style="89" customWidth="1"/>
    <col min="3" max="3" width="25.85546875" style="89" bestFit="1" customWidth="1"/>
    <col min="4" max="4" width="8.7109375" style="247" customWidth="1"/>
    <col min="5" max="5" width="15.42578125" style="89" bestFit="1" customWidth="1"/>
    <col min="6" max="7" width="13.7109375" style="89" bestFit="1" customWidth="1"/>
    <col min="8" max="8" width="5.7109375" style="89" customWidth="1"/>
    <col min="9" max="9" width="2.28515625" style="89" customWidth="1"/>
    <col min="10" max="16384" width="9.140625" style="89"/>
  </cols>
  <sheetData>
    <row r="1" spans="1:7">
      <c r="D1" s="67" t="s">
        <v>334</v>
      </c>
      <c r="G1" s="102" t="s">
        <v>562</v>
      </c>
    </row>
    <row r="2" spans="1:7">
      <c r="D2" s="67" t="s">
        <v>1005</v>
      </c>
      <c r="G2" s="102" t="s">
        <v>574</v>
      </c>
    </row>
    <row r="3" spans="1:7">
      <c r="D3" s="67" t="s">
        <v>1007</v>
      </c>
      <c r="G3" s="102" t="s">
        <v>624</v>
      </c>
    </row>
    <row r="4" spans="1:7">
      <c r="D4" s="67" t="s">
        <v>1006</v>
      </c>
    </row>
    <row r="5" spans="1:7">
      <c r="D5" s="67" t="s">
        <v>1008</v>
      </c>
    </row>
    <row r="6" spans="1:7">
      <c r="D6" s="67" t="s">
        <v>1000</v>
      </c>
    </row>
    <row r="7" spans="1:7">
      <c r="D7" s="67"/>
    </row>
    <row r="8" spans="1:7" ht="38.25">
      <c r="A8" s="105" t="s">
        <v>564</v>
      </c>
      <c r="C8" s="266" t="s">
        <v>7</v>
      </c>
      <c r="D8" s="67"/>
      <c r="E8" s="105" t="s">
        <v>625</v>
      </c>
      <c r="F8" s="105" t="s">
        <v>626</v>
      </c>
      <c r="G8" s="105" t="s">
        <v>627</v>
      </c>
    </row>
    <row r="9" spans="1:7">
      <c r="A9" s="272">
        <v>-1</v>
      </c>
      <c r="C9" s="109">
        <f>+A9-1</f>
        <v>-2</v>
      </c>
      <c r="D9" s="67"/>
      <c r="E9" s="109">
        <f>+C9-1</f>
        <v>-3</v>
      </c>
      <c r="F9" s="109">
        <f>+E9-1</f>
        <v>-4</v>
      </c>
      <c r="G9" s="109">
        <f>+F9-1</f>
        <v>-5</v>
      </c>
    </row>
    <row r="10" spans="1:7">
      <c r="A10" s="109"/>
    </row>
    <row r="11" spans="1:7">
      <c r="A11" s="109">
        <v>1</v>
      </c>
      <c r="C11" s="89" t="s">
        <v>974</v>
      </c>
      <c r="E11" s="111">
        <v>578891902.08000004</v>
      </c>
      <c r="F11" s="111">
        <v>2408105</v>
      </c>
      <c r="G11" s="114">
        <f>ROUND(F11/E11,4)</f>
        <v>4.1999999999999997E-3</v>
      </c>
    </row>
    <row r="12" spans="1:7">
      <c r="A12" s="109"/>
      <c r="E12" s="111"/>
      <c r="F12" s="111"/>
    </row>
    <row r="13" spans="1:7">
      <c r="A13" s="109">
        <f>+A11+1</f>
        <v>2</v>
      </c>
      <c r="C13" s="89" t="s">
        <v>976</v>
      </c>
      <c r="E13" s="111">
        <v>545495087.84000003</v>
      </c>
      <c r="F13" s="111">
        <v>1549583</v>
      </c>
      <c r="G13" s="114">
        <f>ROUND(F13/E13,4)</f>
        <v>2.8E-3</v>
      </c>
    </row>
    <row r="14" spans="1:7">
      <c r="A14" s="109"/>
      <c r="E14" s="111"/>
      <c r="F14" s="111"/>
    </row>
    <row r="15" spans="1:7">
      <c r="A15" s="109">
        <f>+A13+1</f>
        <v>3</v>
      </c>
      <c r="C15" s="89" t="s">
        <v>975</v>
      </c>
      <c r="E15" s="111">
        <v>553900977.73000002</v>
      </c>
      <c r="F15" s="111">
        <v>1703626</v>
      </c>
      <c r="G15" s="114">
        <f>ROUND(F15/E15,4)</f>
        <v>3.0999999999999999E-3</v>
      </c>
    </row>
    <row r="16" spans="1:7">
      <c r="A16" s="109"/>
      <c r="E16" s="112" t="s">
        <v>566</v>
      </c>
      <c r="F16" s="112" t="s">
        <v>566</v>
      </c>
      <c r="G16" s="112" t="s">
        <v>566</v>
      </c>
    </row>
    <row r="17" spans="1:7">
      <c r="A17" s="109">
        <f>+A15+1</f>
        <v>4</v>
      </c>
      <c r="C17" s="89" t="s">
        <v>448</v>
      </c>
      <c r="E17" s="111">
        <f>SUM(E11:E16)</f>
        <v>1678287967.6500001</v>
      </c>
      <c r="F17" s="111">
        <f>SUM(F11:F16)</f>
        <v>5661314</v>
      </c>
      <c r="G17" s="114">
        <f>SUM(G11:G15)</f>
        <v>1.01E-2</v>
      </c>
    </row>
    <row r="18" spans="1:7">
      <c r="A18" s="109"/>
      <c r="E18" s="112" t="s">
        <v>566</v>
      </c>
      <c r="F18" s="112" t="s">
        <v>566</v>
      </c>
      <c r="G18" s="112" t="s">
        <v>566</v>
      </c>
    </row>
    <row r="19" spans="1:7">
      <c r="A19" s="109">
        <f>+A17+1</f>
        <v>5</v>
      </c>
      <c r="C19" s="89" t="s">
        <v>628</v>
      </c>
      <c r="E19" s="111">
        <f>ROUND(E17/3,0)</f>
        <v>559429323</v>
      </c>
      <c r="F19" s="111">
        <f>ROUND(F17/3,0)</f>
        <v>1887105</v>
      </c>
      <c r="G19" s="116">
        <f>ROUND(F19/E19,4)</f>
        <v>3.3999999999999998E-3</v>
      </c>
    </row>
    <row r="20" spans="1:7">
      <c r="A20" s="109"/>
      <c r="E20" s="112" t="s">
        <v>572</v>
      </c>
      <c r="F20" s="112" t="s">
        <v>572</v>
      </c>
      <c r="G20" s="112" t="s">
        <v>572</v>
      </c>
    </row>
    <row r="21" spans="1:7">
      <c r="A21" s="109"/>
      <c r="E21" s="111"/>
      <c r="F21" s="111"/>
    </row>
    <row r="22" spans="1:7">
      <c r="A22" s="109"/>
      <c r="E22" s="270"/>
      <c r="F22" s="270"/>
    </row>
    <row r="23" spans="1:7">
      <c r="A23" s="109"/>
      <c r="E23" s="111"/>
      <c r="F23" s="111"/>
    </row>
    <row r="24" spans="1:7">
      <c r="A24" s="109"/>
      <c r="E24" s="111"/>
      <c r="F24" s="111"/>
    </row>
    <row r="25" spans="1:7">
      <c r="A25" s="109"/>
      <c r="E25" s="111"/>
      <c r="F25" s="111"/>
    </row>
    <row r="26" spans="1:7">
      <c r="A26" s="109"/>
      <c r="E26" s="111"/>
      <c r="F26" s="111"/>
    </row>
    <row r="27" spans="1:7">
      <c r="A27" s="109"/>
      <c r="E27" s="111"/>
      <c r="F27" s="111"/>
    </row>
    <row r="28" spans="1:7">
      <c r="A28" s="109"/>
      <c r="E28" s="111"/>
      <c r="F28" s="111"/>
    </row>
    <row r="29" spans="1:7">
      <c r="A29" s="109"/>
      <c r="E29" s="111"/>
      <c r="F29" s="111"/>
    </row>
    <row r="30" spans="1:7">
      <c r="A30" s="109"/>
      <c r="E30" s="111"/>
      <c r="F30" s="111"/>
    </row>
    <row r="31" spans="1:7">
      <c r="A31" s="109"/>
      <c r="E31" s="111"/>
      <c r="F31" s="111"/>
    </row>
    <row r="32" spans="1:7">
      <c r="A32" s="109"/>
    </row>
    <row r="33" spans="1:1">
      <c r="A33" s="109"/>
    </row>
    <row r="34" spans="1:1">
      <c r="A34" s="109"/>
    </row>
    <row r="35" spans="1:1">
      <c r="A35" s="109"/>
    </row>
    <row r="36" spans="1:1">
      <c r="A36" s="109"/>
    </row>
    <row r="37" spans="1:1">
      <c r="A37" s="109"/>
    </row>
    <row r="38" spans="1:1">
      <c r="A38" s="109"/>
    </row>
    <row r="39" spans="1:1">
      <c r="A39" s="109"/>
    </row>
    <row r="40" spans="1:1">
      <c r="A40" s="109"/>
    </row>
    <row r="41" spans="1:1">
      <c r="A41" s="109"/>
    </row>
    <row r="42" spans="1:1">
      <c r="A42" s="109"/>
    </row>
    <row r="43" spans="1:1">
      <c r="A43" s="109"/>
    </row>
    <row r="44" spans="1:1">
      <c r="A44" s="109"/>
    </row>
    <row r="48" spans="1:1">
      <c r="A48" s="211"/>
    </row>
    <row r="49" spans="1:1">
      <c r="A49" s="211"/>
    </row>
    <row r="50" spans="1:1">
      <c r="A50" s="211"/>
    </row>
    <row r="51" spans="1:1">
      <c r="A51" s="211"/>
    </row>
  </sheetData>
  <printOptions horizontalCentered="1"/>
  <pageMargins left="0" right="0" top="1.5" bottom="0.5" header="0" footer="0"/>
  <pageSetup scale="9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zoomScale="90" zoomScaleNormal="90" workbookViewId="0">
      <pane xSplit="3" ySplit="10" topLeftCell="F11" activePane="bottomRight" state="frozen"/>
      <selection pane="topRight"/>
      <selection pane="bottomLeft"/>
      <selection pane="bottomRight" activeCell="X33" sqref="X33:Z35"/>
    </sheetView>
  </sheetViews>
  <sheetFormatPr defaultColWidth="9.140625" defaultRowHeight="12.75"/>
  <cols>
    <col min="1" max="1" width="4.7109375" style="89" customWidth="1"/>
    <col min="2" max="2" width="2.7109375" style="89" customWidth="1"/>
    <col min="3" max="3" width="26.5703125" style="89" customWidth="1"/>
    <col min="4" max="4" width="2.7109375" style="89" customWidth="1"/>
    <col min="5" max="5" width="16" style="89" bestFit="1" customWidth="1"/>
    <col min="6" max="6" width="3.28515625" style="89" customWidth="1"/>
    <col min="7" max="7" width="15.5703125" style="89" bestFit="1" customWidth="1"/>
    <col min="8" max="8" width="2.7109375" style="89" customWidth="1"/>
    <col min="9" max="9" width="16.7109375" style="89" customWidth="1"/>
    <col min="10" max="10" width="2.7109375" style="89" customWidth="1"/>
    <col min="11" max="11" width="15.140625" style="89" bestFit="1" customWidth="1"/>
    <col min="12" max="12" width="2.7109375" style="89" customWidth="1"/>
    <col min="13" max="13" width="15.28515625" style="89" bestFit="1" customWidth="1"/>
    <col min="14" max="14" width="2.7109375" style="89" customWidth="1"/>
    <col min="15" max="15" width="15.7109375" style="89" customWidth="1"/>
    <col min="16" max="16" width="2.7109375" style="89" customWidth="1"/>
    <col min="17" max="17" width="13.7109375" style="89" customWidth="1"/>
    <col min="18" max="18" width="2.7109375" style="89" customWidth="1"/>
    <col min="19" max="19" width="13.42578125" style="89" customWidth="1"/>
    <col min="20" max="20" width="2.7109375" style="89" customWidth="1"/>
    <col min="21" max="21" width="11.5703125" style="89" customWidth="1"/>
    <col min="22" max="23" width="2.7109375" style="89" customWidth="1"/>
    <col min="24" max="24" width="19.5703125" style="89" bestFit="1" customWidth="1"/>
    <col min="25" max="25" width="2.7109375" style="89" customWidth="1"/>
    <col min="26" max="26" width="19.5703125" style="89" customWidth="1"/>
    <col min="27" max="27" width="2.7109375" style="89" customWidth="1"/>
    <col min="28" max="28" width="17.140625" style="89" customWidth="1"/>
    <col min="29" max="29" width="2.7109375" style="89" customWidth="1"/>
    <col min="30" max="16384" width="9.140625" style="89"/>
  </cols>
  <sheetData>
    <row r="1" spans="1:29">
      <c r="O1" s="266" t="s">
        <v>334</v>
      </c>
      <c r="AB1" s="102" t="s">
        <v>562</v>
      </c>
    </row>
    <row r="2" spans="1:29">
      <c r="O2" s="266" t="s">
        <v>629</v>
      </c>
      <c r="AB2" s="102" t="s">
        <v>693</v>
      </c>
    </row>
    <row r="3" spans="1:29">
      <c r="O3" s="266" t="s">
        <v>1000</v>
      </c>
      <c r="AB3" s="102"/>
    </row>
    <row r="6" spans="1:29">
      <c r="G6" s="266" t="s">
        <v>954</v>
      </c>
    </row>
    <row r="7" spans="1:29">
      <c r="A7" s="266"/>
      <c r="B7" s="266"/>
      <c r="C7" s="266"/>
      <c r="D7" s="266"/>
      <c r="E7" s="266"/>
      <c r="F7" s="266"/>
      <c r="G7" s="266" t="s">
        <v>949</v>
      </c>
      <c r="H7" s="266"/>
      <c r="I7" s="266" t="s">
        <v>943</v>
      </c>
      <c r="J7" s="266"/>
      <c r="K7" s="266" t="s">
        <v>836</v>
      </c>
      <c r="L7" s="266"/>
      <c r="M7" s="266" t="s">
        <v>836</v>
      </c>
      <c r="N7" s="266"/>
      <c r="O7" s="266" t="s">
        <v>630</v>
      </c>
      <c r="P7" s="266"/>
      <c r="Q7" s="266" t="s">
        <v>631</v>
      </c>
      <c r="R7" s="266"/>
      <c r="S7" s="266"/>
      <c r="T7" s="266"/>
      <c r="U7" s="266" t="s">
        <v>632</v>
      </c>
      <c r="V7" s="266"/>
      <c r="W7" s="266"/>
      <c r="X7" s="266" t="s">
        <v>951</v>
      </c>
      <c r="Y7" s="266"/>
      <c r="Z7" s="266"/>
      <c r="AA7" s="266"/>
      <c r="AB7" s="266" t="s">
        <v>576</v>
      </c>
    </row>
    <row r="8" spans="1:29">
      <c r="A8" s="266" t="s">
        <v>2</v>
      </c>
      <c r="B8" s="266"/>
      <c r="C8" s="266"/>
      <c r="D8" s="266"/>
      <c r="E8" s="266" t="s">
        <v>633</v>
      </c>
      <c r="F8" s="266"/>
      <c r="G8" s="266" t="s">
        <v>633</v>
      </c>
      <c r="H8" s="266"/>
      <c r="I8" s="266" t="s">
        <v>944</v>
      </c>
      <c r="J8" s="266"/>
      <c r="K8" s="266" t="s">
        <v>937</v>
      </c>
      <c r="L8" s="266"/>
      <c r="M8" s="266" t="s">
        <v>837</v>
      </c>
      <c r="N8" s="266"/>
      <c r="O8" s="266" t="s">
        <v>634</v>
      </c>
      <c r="P8" s="266"/>
      <c r="Q8" s="266" t="s">
        <v>635</v>
      </c>
      <c r="R8" s="266"/>
      <c r="S8" s="266" t="s">
        <v>636</v>
      </c>
      <c r="T8" s="266"/>
      <c r="U8" s="266" t="s">
        <v>637</v>
      </c>
      <c r="V8" s="266"/>
      <c r="W8" s="266"/>
      <c r="X8" s="266" t="s">
        <v>952</v>
      </c>
      <c r="Y8" s="266"/>
      <c r="Z8" s="266" t="s">
        <v>638</v>
      </c>
      <c r="AA8" s="266"/>
      <c r="AB8" s="266" t="s">
        <v>579</v>
      </c>
    </row>
    <row r="9" spans="1:29">
      <c r="A9" s="233" t="s">
        <v>6</v>
      </c>
      <c r="B9" s="233"/>
      <c r="C9" s="233" t="s">
        <v>7</v>
      </c>
      <c r="D9" s="233"/>
      <c r="E9" s="233" t="s">
        <v>639</v>
      </c>
      <c r="F9" s="233"/>
      <c r="G9" s="233" t="s">
        <v>639</v>
      </c>
      <c r="H9" s="233"/>
      <c r="I9" s="233" t="s">
        <v>843</v>
      </c>
      <c r="J9" s="233"/>
      <c r="K9" s="233" t="s">
        <v>843</v>
      </c>
      <c r="L9" s="233"/>
      <c r="M9" s="233" t="s">
        <v>838</v>
      </c>
      <c r="N9" s="233"/>
      <c r="O9" s="233" t="s">
        <v>640</v>
      </c>
      <c r="P9" s="233"/>
      <c r="Q9" s="233" t="s">
        <v>641</v>
      </c>
      <c r="R9" s="233"/>
      <c r="S9" s="233" t="s">
        <v>642</v>
      </c>
      <c r="T9" s="233"/>
      <c r="U9" s="233" t="s">
        <v>641</v>
      </c>
      <c r="V9" s="233"/>
      <c r="W9" s="233"/>
      <c r="X9" s="233" t="s">
        <v>792</v>
      </c>
      <c r="Y9" s="233"/>
      <c r="Z9" s="233" t="s">
        <v>448</v>
      </c>
      <c r="AA9" s="233"/>
      <c r="AB9" s="233" t="s">
        <v>583</v>
      </c>
    </row>
    <row r="10" spans="1:29">
      <c r="A10" s="253">
        <v>-1</v>
      </c>
      <c r="B10" s="253"/>
      <c r="C10" s="253">
        <f>+A10-1</f>
        <v>-2</v>
      </c>
      <c r="D10" s="253"/>
      <c r="E10" s="253">
        <f>+C10-1</f>
        <v>-3</v>
      </c>
      <c r="F10" s="253"/>
      <c r="G10" s="253">
        <f>+E10-1</f>
        <v>-4</v>
      </c>
      <c r="H10" s="253"/>
      <c r="I10" s="253">
        <f>+G10-1</f>
        <v>-5</v>
      </c>
      <c r="J10" s="253"/>
      <c r="K10" s="253">
        <f>I10-1</f>
        <v>-6</v>
      </c>
      <c r="L10" s="253"/>
      <c r="M10" s="253">
        <f>K10-1</f>
        <v>-7</v>
      </c>
      <c r="N10" s="253"/>
      <c r="O10" s="253">
        <f>M10-1</f>
        <v>-8</v>
      </c>
      <c r="P10" s="253"/>
      <c r="Q10" s="253">
        <f>+O10-1</f>
        <v>-9</v>
      </c>
      <c r="R10" s="253"/>
      <c r="S10" s="253">
        <f>+Q10-1</f>
        <v>-10</v>
      </c>
      <c r="T10" s="253"/>
      <c r="U10" s="253">
        <f>S10-1</f>
        <v>-11</v>
      </c>
      <c r="V10" s="253"/>
      <c r="W10" s="253"/>
      <c r="X10" s="253">
        <f>U10-1</f>
        <v>-12</v>
      </c>
      <c r="Y10" s="253"/>
      <c r="Z10" s="253">
        <f>X10-1</f>
        <v>-13</v>
      </c>
      <c r="AA10" s="253"/>
      <c r="AB10" s="253">
        <f>+Z10-1</f>
        <v>-14</v>
      </c>
      <c r="AC10" s="253"/>
    </row>
    <row r="11" spans="1:29">
      <c r="A11" s="254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</row>
    <row r="12" spans="1:29">
      <c r="A12" s="266">
        <v>1</v>
      </c>
      <c r="C12" s="89" t="s">
        <v>589</v>
      </c>
      <c r="E12" s="111">
        <v>870000000</v>
      </c>
      <c r="F12" s="111"/>
      <c r="G12" s="111">
        <f>E12*$G$27</f>
        <v>856950000</v>
      </c>
      <c r="H12" s="111"/>
      <c r="I12" s="255">
        <f>I20*($E$12/($E$12+$E$18))</f>
        <v>-87016831.490843609</v>
      </c>
      <c r="J12" s="111"/>
      <c r="K12" s="255">
        <f>K20*($E$12/($E$12+$E$18))</f>
        <v>-924962.25840498379</v>
      </c>
      <c r="L12" s="111"/>
      <c r="M12" s="255">
        <f>M20*($E$12/($E$12+$E$18))</f>
        <v>-115122144.00759391</v>
      </c>
      <c r="N12" s="111"/>
      <c r="O12" s="255">
        <f>(O20-O14)*($E$12/($E$12+$E$18))</f>
        <v>-3274643.2738711722</v>
      </c>
      <c r="P12" s="111"/>
      <c r="Q12" s="255">
        <f>Q20*($E$12/($E$12+$E$18))</f>
        <v>-1034718.5305401512</v>
      </c>
      <c r="R12" s="111"/>
      <c r="S12" s="255">
        <f>S20*($E$12/($E$12+$E$18))</f>
        <v>-3214831.4032976544</v>
      </c>
      <c r="T12" s="111"/>
      <c r="U12" s="255">
        <f>U20*($E$12/($E$12+$E$18))</f>
        <v>-563636.2561090861</v>
      </c>
      <c r="V12" s="111"/>
      <c r="W12" s="111"/>
      <c r="X12" s="111">
        <f>(I12*$I$27)+(K12*$K$27)+(M12*$M$27)+(O12*$O$27)+(Q12*$Q$27)+(S12*$S$27)+(U12*$U$27)</f>
        <v>-208036912.78893241</v>
      </c>
      <c r="Y12" s="111"/>
      <c r="Z12" s="111">
        <f>G12+X12</f>
        <v>648913087.21106756</v>
      </c>
      <c r="AA12" s="111"/>
      <c r="AB12" s="111">
        <f>ROUND(Z12/$Z$20*$Z$22,0)+Z12</f>
        <v>648913758.21106756</v>
      </c>
    </row>
    <row r="13" spans="1:29">
      <c r="A13" s="266"/>
      <c r="E13" s="111"/>
      <c r="F13" s="111"/>
      <c r="G13" s="111"/>
      <c r="H13" s="111"/>
      <c r="I13" s="255"/>
      <c r="J13" s="111"/>
      <c r="K13" s="255"/>
      <c r="L13" s="111"/>
      <c r="M13" s="255"/>
      <c r="N13" s="111"/>
      <c r="O13" s="255"/>
      <c r="P13" s="111"/>
      <c r="Q13" s="255"/>
      <c r="R13" s="111"/>
      <c r="S13" s="255"/>
      <c r="T13" s="111"/>
      <c r="U13" s="255"/>
      <c r="V13" s="111"/>
      <c r="W13" s="111"/>
      <c r="X13" s="111"/>
      <c r="Y13" s="111"/>
      <c r="Z13" s="111"/>
      <c r="AA13" s="111"/>
      <c r="AB13" s="111"/>
    </row>
    <row r="14" spans="1:29">
      <c r="A14" s="266">
        <v>2</v>
      </c>
      <c r="C14" s="89" t="s">
        <v>591</v>
      </c>
      <c r="E14" s="38">
        <f>'3 P2'!F32</f>
        <v>1022872</v>
      </c>
      <c r="F14" s="38"/>
      <c r="G14" s="111">
        <f>E14*O27</f>
        <v>1008551.792</v>
      </c>
      <c r="H14" s="38"/>
      <c r="I14" s="255">
        <v>0</v>
      </c>
      <c r="J14" s="38"/>
      <c r="K14" s="255">
        <v>0</v>
      </c>
      <c r="L14" s="38"/>
      <c r="M14" s="255">
        <v>0</v>
      </c>
      <c r="N14" s="38"/>
      <c r="O14" s="255">
        <f>-E14</f>
        <v>-1022872</v>
      </c>
      <c r="P14" s="38"/>
      <c r="Q14" s="255">
        <v>0</v>
      </c>
      <c r="R14" s="38"/>
      <c r="S14" s="255">
        <v>0</v>
      </c>
      <c r="T14" s="38"/>
      <c r="U14" s="255">
        <v>0</v>
      </c>
      <c r="V14" s="38"/>
      <c r="W14" s="38"/>
      <c r="X14" s="111">
        <f>(I14*$I$27)+(K14*$K$27)+(M14*$M$27)+(O14*$O$27)+(Q14*$Q$27)+(S14*$S$27)+(U14*$U$27)</f>
        <v>-1008551.792</v>
      </c>
      <c r="Y14" s="111"/>
      <c r="Z14" s="111">
        <f>G14+X14</f>
        <v>0</v>
      </c>
      <c r="AA14" s="38"/>
      <c r="AB14" s="38">
        <f>ROUND(Z14/$Z$20*$Z$22,0)+Z14</f>
        <v>0</v>
      </c>
    </row>
    <row r="15" spans="1:29">
      <c r="A15" s="266"/>
      <c r="E15" s="38"/>
      <c r="F15" s="38"/>
      <c r="G15" s="38"/>
      <c r="H15" s="38"/>
      <c r="I15" s="255"/>
      <c r="J15" s="38"/>
      <c r="K15" s="255"/>
      <c r="L15" s="38"/>
      <c r="M15" s="255"/>
      <c r="N15" s="38"/>
      <c r="O15" s="255"/>
      <c r="P15" s="38"/>
      <c r="Q15" s="255"/>
      <c r="R15" s="38"/>
      <c r="S15" s="255"/>
      <c r="T15" s="38"/>
      <c r="U15" s="255"/>
      <c r="V15" s="38"/>
      <c r="W15" s="38"/>
      <c r="X15" s="38"/>
      <c r="Y15" s="38"/>
      <c r="Z15" s="38"/>
      <c r="AA15" s="38"/>
      <c r="AB15" s="38"/>
    </row>
    <row r="16" spans="1:29">
      <c r="A16" s="266">
        <v>3</v>
      </c>
      <c r="C16" s="89" t="s">
        <v>643</v>
      </c>
      <c r="E16" s="38">
        <v>46807067</v>
      </c>
      <c r="F16" s="38"/>
      <c r="G16" s="111">
        <f>E16*$G$27</f>
        <v>46104960.994999997</v>
      </c>
      <c r="H16" s="38"/>
      <c r="I16" s="255">
        <v>0</v>
      </c>
      <c r="J16" s="38"/>
      <c r="K16" s="255">
        <v>0</v>
      </c>
      <c r="L16" s="38"/>
      <c r="M16" s="255">
        <v>0</v>
      </c>
      <c r="N16" s="38"/>
      <c r="O16" s="255">
        <v>0</v>
      </c>
      <c r="P16" s="38"/>
      <c r="Q16" s="255">
        <v>0</v>
      </c>
      <c r="R16" s="38"/>
      <c r="S16" s="255">
        <v>0</v>
      </c>
      <c r="U16" s="255">
        <v>0</v>
      </c>
      <c r="V16" s="38"/>
      <c r="W16" s="38"/>
      <c r="X16" s="111">
        <f>(I16*$I$27)+(K16*$K$27)+(M16*$M$27)+(O16*$O$27)+(Q16*$Q$27)+(S16*$S$27)+(U16*$U$27)</f>
        <v>0</v>
      </c>
      <c r="Y16" s="111"/>
      <c r="Z16" s="111">
        <f>G16+X16</f>
        <v>46104960.994999997</v>
      </c>
      <c r="AA16" s="38"/>
      <c r="AB16" s="38">
        <f>ROUND(Z16/$Z$20*$Z$22,0)+Z16</f>
        <v>46105008.994999997</v>
      </c>
    </row>
    <row r="17" spans="1:28">
      <c r="A17" s="266"/>
      <c r="E17" s="38"/>
      <c r="F17" s="38"/>
      <c r="G17" s="38"/>
      <c r="H17" s="38"/>
      <c r="I17" s="255"/>
      <c r="J17" s="38"/>
      <c r="K17" s="255"/>
      <c r="L17" s="38"/>
      <c r="M17" s="255"/>
      <c r="N17" s="38"/>
      <c r="O17" s="255"/>
      <c r="P17" s="38"/>
      <c r="Q17" s="255"/>
      <c r="R17" s="38"/>
      <c r="S17" s="255"/>
      <c r="T17" s="38"/>
      <c r="U17" s="255"/>
      <c r="V17" s="38"/>
      <c r="W17" s="38"/>
      <c r="X17" s="38"/>
      <c r="Y17" s="38"/>
      <c r="Z17" s="38"/>
      <c r="AA17" s="38"/>
      <c r="AB17" s="38"/>
    </row>
    <row r="18" spans="1:28">
      <c r="A18" s="266">
        <v>4</v>
      </c>
      <c r="C18" s="89" t="s">
        <v>595</v>
      </c>
      <c r="E18" s="38">
        <v>666016164</v>
      </c>
      <c r="F18" s="38"/>
      <c r="G18" s="111">
        <f>E18*$G$27</f>
        <v>656025921.53999996</v>
      </c>
      <c r="H18" s="38"/>
      <c r="I18" s="255">
        <f>I20*($E$18/($E$18+$E$12))</f>
        <v>-66614501.509156391</v>
      </c>
      <c r="J18" s="38"/>
      <c r="K18" s="255">
        <f>K20*($E$18/($E$18+$E$12))</f>
        <v>-708091.74159501609</v>
      </c>
      <c r="L18" s="38"/>
      <c r="M18" s="255">
        <f>M20*($E$18/($E$18+$E$12))</f>
        <v>-88130124.99240607</v>
      </c>
      <c r="N18" s="38"/>
      <c r="O18" s="255">
        <f>(O20-O14)*($E$18/($E$18+$E$12))</f>
        <v>-2506856.7261288273</v>
      </c>
      <c r="P18" s="38"/>
      <c r="Q18" s="255">
        <f>Q20*($E$18/($E$18+$E$12))</f>
        <v>-792114.0994598486</v>
      </c>
      <c r="R18" s="38"/>
      <c r="S18" s="255">
        <f>S20*($E$18/($E$18+$E$12))</f>
        <v>-2461068.5967023456</v>
      </c>
      <c r="T18" s="38"/>
      <c r="U18" s="255">
        <f>U20*($E$18/($E$18+$E$12))</f>
        <v>-431483.74389091384</v>
      </c>
      <c r="V18" s="38"/>
      <c r="W18" s="38"/>
      <c r="X18" s="111">
        <f>(I18*$I$27)+(K18*$K$27)+(M18*$M$27)+(O18*$O$27)+(Q18*$Q$27)+(S18*$S$27)+(U18*$U$27)</f>
        <v>-159259708.76561758</v>
      </c>
      <c r="Y18" s="111"/>
      <c r="Z18" s="111">
        <f>G18+X18</f>
        <v>496766212.77438235</v>
      </c>
      <c r="AA18" s="38"/>
      <c r="AB18" s="38">
        <f>ROUND(Z18/$Z$20*$Z$22,0)+Z18</f>
        <v>496766725.77438235</v>
      </c>
    </row>
    <row r="19" spans="1:28">
      <c r="A19" s="266"/>
      <c r="E19" s="112" t="s">
        <v>597</v>
      </c>
      <c r="F19" s="112"/>
      <c r="G19" s="112" t="s">
        <v>597</v>
      </c>
      <c r="H19" s="67"/>
      <c r="I19" s="67" t="s">
        <v>597</v>
      </c>
      <c r="J19" s="67"/>
      <c r="K19" s="67" t="s">
        <v>597</v>
      </c>
      <c r="L19" s="67"/>
      <c r="M19" s="67" t="s">
        <v>597</v>
      </c>
      <c r="N19" s="67"/>
      <c r="O19" s="67" t="s">
        <v>597</v>
      </c>
      <c r="P19" s="67"/>
      <c r="Q19" s="67" t="s">
        <v>597</v>
      </c>
      <c r="R19" s="252"/>
      <c r="S19" s="67" t="s">
        <v>597</v>
      </c>
      <c r="T19" s="252"/>
      <c r="U19" s="112" t="s">
        <v>698</v>
      </c>
      <c r="V19" s="252"/>
      <c r="W19" s="252"/>
      <c r="X19" s="112" t="s">
        <v>597</v>
      </c>
      <c r="Y19" s="112"/>
      <c r="Z19" s="112" t="s">
        <v>597</v>
      </c>
      <c r="AA19" s="252"/>
      <c r="AB19" s="112" t="s">
        <v>597</v>
      </c>
    </row>
    <row r="20" spans="1:28">
      <c r="A20" s="266">
        <v>5</v>
      </c>
      <c r="C20" s="89" t="s">
        <v>644</v>
      </c>
      <c r="E20" s="38">
        <f>SUM(E12:E18)</f>
        <v>1583846103</v>
      </c>
      <c r="F20" s="38"/>
      <c r="G20" s="38">
        <f>SUM(G12:G18)</f>
        <v>1560089434.3270001</v>
      </c>
      <c r="H20" s="38"/>
      <c r="I20" s="38">
        <v>-153631333</v>
      </c>
      <c r="J20" s="38"/>
      <c r="K20" s="38">
        <v>-1633054</v>
      </c>
      <c r="L20" s="38"/>
      <c r="M20" s="38">
        <v>-203252269</v>
      </c>
      <c r="N20" s="38"/>
      <c r="O20" s="38">
        <v>-6804372</v>
      </c>
      <c r="P20" s="38"/>
      <c r="Q20" s="38">
        <v>-1826832.63</v>
      </c>
      <c r="R20" s="38"/>
      <c r="S20" s="38">
        <v>-5675900</v>
      </c>
      <c r="T20" s="38"/>
      <c r="U20" s="38">
        <v>-995120</v>
      </c>
      <c r="V20" s="38"/>
      <c r="W20" s="38"/>
      <c r="X20" s="38">
        <f>SUM(X12:X18)</f>
        <v>-368305173.34654999</v>
      </c>
      <c r="Y20" s="38"/>
      <c r="Z20" s="38">
        <f>SUM(Z12:Z18)</f>
        <v>1191784260.9804499</v>
      </c>
      <c r="AA20" s="38"/>
      <c r="AB20" s="38">
        <f>SUM(AB12:AB18)</f>
        <v>1191785492.9804499</v>
      </c>
    </row>
    <row r="21" spans="1:28">
      <c r="A21" s="266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</row>
    <row r="22" spans="1:28">
      <c r="A22" s="266">
        <v>6</v>
      </c>
      <c r="C22" s="89" t="s">
        <v>645</v>
      </c>
      <c r="E22" s="38">
        <v>1250.2</v>
      </c>
      <c r="F22" s="38"/>
      <c r="G22" s="111">
        <f>E22*$G$27</f>
        <v>1231.4470000000001</v>
      </c>
      <c r="H22" s="38"/>
      <c r="I22" s="38">
        <v>0</v>
      </c>
      <c r="J22" s="38"/>
      <c r="K22" s="38">
        <v>0</v>
      </c>
      <c r="L22" s="38"/>
      <c r="M22" s="38">
        <v>0</v>
      </c>
      <c r="N22" s="38"/>
      <c r="O22" s="38">
        <v>0</v>
      </c>
      <c r="P22" s="38"/>
      <c r="Q22" s="38">
        <v>0</v>
      </c>
      <c r="R22" s="38"/>
      <c r="S22" s="38">
        <v>0</v>
      </c>
      <c r="T22" s="38"/>
      <c r="U22" s="38">
        <v>0</v>
      </c>
      <c r="V22" s="38"/>
      <c r="W22" s="38"/>
      <c r="X22" s="38">
        <f>G22</f>
        <v>1231.4470000000001</v>
      </c>
      <c r="Y22" s="38"/>
      <c r="Z22" s="38">
        <f>X22</f>
        <v>1231.4470000000001</v>
      </c>
      <c r="AA22" s="38"/>
      <c r="AB22" s="38">
        <v>0</v>
      </c>
    </row>
    <row r="23" spans="1:28">
      <c r="A23" s="266"/>
      <c r="E23" s="112" t="s">
        <v>597</v>
      </c>
      <c r="F23" s="112"/>
      <c r="G23" s="112"/>
      <c r="H23" s="67"/>
      <c r="I23" s="67" t="s">
        <v>597</v>
      </c>
      <c r="J23" s="67"/>
      <c r="K23" s="67" t="s">
        <v>597</v>
      </c>
      <c r="L23" s="67"/>
      <c r="M23" s="67" t="s">
        <v>597</v>
      </c>
      <c r="N23" s="67"/>
      <c r="O23" s="67" t="s">
        <v>597</v>
      </c>
      <c r="P23" s="67"/>
      <c r="Q23" s="67" t="s">
        <v>597</v>
      </c>
      <c r="R23" s="252"/>
      <c r="S23" s="67" t="s">
        <v>597</v>
      </c>
      <c r="T23" s="252"/>
      <c r="U23" s="67" t="s">
        <v>732</v>
      </c>
      <c r="V23" s="252"/>
      <c r="W23" s="252"/>
      <c r="X23" s="112" t="s">
        <v>597</v>
      </c>
      <c r="Y23" s="112"/>
      <c r="Z23" s="112" t="s">
        <v>597</v>
      </c>
      <c r="AA23" s="252"/>
      <c r="AB23" s="112" t="s">
        <v>597</v>
      </c>
    </row>
    <row r="24" spans="1:28">
      <c r="A24" s="266">
        <v>7</v>
      </c>
      <c r="C24" s="89" t="s">
        <v>448</v>
      </c>
      <c r="E24" s="111">
        <f>SUM(E20:E22)</f>
        <v>1583847353.2</v>
      </c>
      <c r="F24" s="111"/>
      <c r="G24" s="111">
        <f>SUM(G20:G22)</f>
        <v>1560090665.7740002</v>
      </c>
      <c r="H24" s="111"/>
      <c r="I24" s="111">
        <f>SUM(I20:I22)</f>
        <v>-153631333</v>
      </c>
      <c r="J24" s="115"/>
      <c r="K24" s="111">
        <f>SUM(K20:K22)</f>
        <v>-1633054</v>
      </c>
      <c r="L24" s="115"/>
      <c r="M24" s="111">
        <f>SUM(M20:M22)</f>
        <v>-203252269</v>
      </c>
      <c r="N24" s="115"/>
      <c r="O24" s="111">
        <f>SUM(O20:O22)</f>
        <v>-6804372</v>
      </c>
      <c r="P24" s="115"/>
      <c r="Q24" s="111">
        <f>SUM(Q20:Q22)</f>
        <v>-1826832.63</v>
      </c>
      <c r="R24" s="115"/>
      <c r="S24" s="111">
        <f>SUM(S20:S22)</f>
        <v>-5675900</v>
      </c>
      <c r="T24" s="115"/>
      <c r="U24" s="111">
        <f>SUM(U20:U22)</f>
        <v>-995120</v>
      </c>
      <c r="V24" s="115"/>
      <c r="W24" s="115"/>
      <c r="X24" s="115">
        <f>SUM(X20:X22)</f>
        <v>-368303941.89954996</v>
      </c>
      <c r="Y24" s="115"/>
      <c r="Z24" s="115">
        <f>SUM(Z20:Z22)</f>
        <v>1191785492.4274499</v>
      </c>
      <c r="AA24" s="115"/>
      <c r="AB24" s="115">
        <f>SUM(AB20)</f>
        <v>1191785492.9804499</v>
      </c>
    </row>
    <row r="25" spans="1:28">
      <c r="A25" s="266"/>
      <c r="E25" s="112" t="s">
        <v>809</v>
      </c>
      <c r="F25" s="112"/>
      <c r="G25" s="112"/>
      <c r="H25" s="67"/>
      <c r="I25" s="112" t="s">
        <v>558</v>
      </c>
      <c r="J25" s="112"/>
      <c r="K25" s="112" t="s">
        <v>558</v>
      </c>
      <c r="L25" s="112"/>
      <c r="M25" s="112" t="s">
        <v>558</v>
      </c>
      <c r="N25" s="112"/>
      <c r="O25" s="112" t="s">
        <v>558</v>
      </c>
      <c r="P25" s="112"/>
      <c r="Q25" s="112" t="s">
        <v>558</v>
      </c>
      <c r="R25" s="102"/>
      <c r="S25" s="112" t="s">
        <v>558</v>
      </c>
      <c r="T25" s="102"/>
      <c r="U25" s="112" t="s">
        <v>572</v>
      </c>
      <c r="V25" s="102"/>
      <c r="W25" s="102"/>
      <c r="X25" s="112" t="s">
        <v>558</v>
      </c>
      <c r="Y25" s="112"/>
      <c r="Z25" s="112" t="s">
        <v>558</v>
      </c>
      <c r="AA25" s="102"/>
      <c r="AB25" s="112" t="s">
        <v>558</v>
      </c>
    </row>
    <row r="26" spans="1:28">
      <c r="A26" s="266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266"/>
      <c r="S26" s="67"/>
      <c r="T26" s="266"/>
      <c r="U26" s="67"/>
      <c r="V26" s="266"/>
      <c r="W26" s="266"/>
      <c r="X26" s="67"/>
      <c r="Y26" s="67"/>
      <c r="Z26" s="67"/>
      <c r="AA26" s="266"/>
      <c r="AB26" s="112"/>
    </row>
    <row r="27" spans="1:28">
      <c r="A27" s="266">
        <v>8</v>
      </c>
      <c r="C27" s="89" t="s">
        <v>776</v>
      </c>
      <c r="F27" s="242"/>
      <c r="G27" s="242">
        <f>'Allocation Factors'!$G$24</f>
        <v>0.98499999999999999</v>
      </c>
      <c r="H27" s="242"/>
      <c r="I27" s="242">
        <f>'Allocation Factors'!G10</f>
        <v>0.98499999999999999</v>
      </c>
      <c r="K27" s="242">
        <f>'Allocation Factors'!G14</f>
        <v>0.98599999999999999</v>
      </c>
      <c r="M27" s="242">
        <f>'Allocation Factors'!G10</f>
        <v>0.98499999999999999</v>
      </c>
      <c r="O27" s="242">
        <f>'Allocation Factors'!G14</f>
        <v>0.98599999999999999</v>
      </c>
      <c r="Q27" s="242">
        <f>'Allocation Factors'!$G$24</f>
        <v>0.98499999999999999</v>
      </c>
      <c r="S27" s="242">
        <v>1</v>
      </c>
      <c r="U27" s="242">
        <f>'Allocation Factors'!$G$24</f>
        <v>0.98499999999999999</v>
      </c>
      <c r="X27" s="255"/>
      <c r="Y27" s="255"/>
      <c r="Z27" s="255"/>
    </row>
    <row r="28" spans="1:28">
      <c r="A28" s="266"/>
      <c r="X28" s="111"/>
      <c r="Y28" s="111"/>
      <c r="Z28" s="111"/>
    </row>
    <row r="29" spans="1:28">
      <c r="A29" s="266"/>
      <c r="E29" s="266"/>
      <c r="F29" s="266"/>
      <c r="G29" s="266" t="s">
        <v>354</v>
      </c>
      <c r="H29" s="266"/>
      <c r="I29" s="266" t="s">
        <v>341</v>
      </c>
      <c r="J29" s="266"/>
      <c r="K29" s="266" t="s">
        <v>344</v>
      </c>
      <c r="L29" s="266"/>
      <c r="M29" s="266" t="s">
        <v>341</v>
      </c>
      <c r="N29" s="266"/>
      <c r="O29" s="266" t="s">
        <v>344</v>
      </c>
      <c r="P29" s="266"/>
      <c r="Q29" s="266" t="s">
        <v>354</v>
      </c>
      <c r="R29" s="266"/>
      <c r="S29" s="266" t="s">
        <v>362</v>
      </c>
      <c r="T29" s="266"/>
      <c r="U29" s="266" t="s">
        <v>354</v>
      </c>
    </row>
    <row r="32" spans="1:28">
      <c r="C32" s="205"/>
      <c r="O32" s="278"/>
    </row>
    <row r="33" spans="9:15">
      <c r="I33" s="14"/>
    </row>
    <row r="34" spans="9:15">
      <c r="O34" s="278"/>
    </row>
    <row r="35" spans="9:15">
      <c r="I35" s="279"/>
    </row>
    <row r="52" spans="28:28" ht="24" customHeight="1">
      <c r="AB52" s="419"/>
    </row>
    <row r="53" spans="28:28" ht="24" customHeight="1">
      <c r="AB53" s="419"/>
    </row>
    <row r="54" spans="28:28">
      <c r="AB54" s="419"/>
    </row>
    <row r="55" spans="28:28">
      <c r="AB55" s="419"/>
    </row>
    <row r="56" spans="28:28">
      <c r="AB56" s="419"/>
    </row>
    <row r="57" spans="28:28">
      <c r="AB57" s="419"/>
    </row>
  </sheetData>
  <mergeCells count="1">
    <mergeCell ref="AB52:AB57"/>
  </mergeCells>
  <printOptions horizontalCentered="1"/>
  <pageMargins left="0" right="0" top="1" bottom="0.5" header="0" footer="0"/>
  <pageSetup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="90" zoomScaleNormal="90" workbookViewId="0">
      <pane xSplit="2" ySplit="13" topLeftCell="C14" activePane="bottomRight" state="frozen"/>
      <selection activeCell="L31" sqref="L31"/>
      <selection pane="topRight" activeCell="L31" sqref="L31"/>
      <selection pane="bottomLeft" activeCell="L31" sqref="L31"/>
      <selection pane="bottomRight" activeCell="S37" sqref="S37"/>
    </sheetView>
  </sheetViews>
  <sheetFormatPr defaultColWidth="9.140625" defaultRowHeight="12.75"/>
  <cols>
    <col min="1" max="1" width="3.28515625" style="101" bestFit="1" customWidth="1"/>
    <col min="2" max="2" width="23.7109375" style="95" customWidth="1"/>
    <col min="3" max="3" width="2.28515625" style="95" customWidth="1"/>
    <col min="4" max="4" width="8.28515625" style="95" bestFit="1" customWidth="1"/>
    <col min="5" max="5" width="10.140625" style="95" bestFit="1" customWidth="1"/>
    <col min="6" max="6" width="10.7109375" style="95" customWidth="1"/>
    <col min="7" max="7" width="8.140625" style="95" bestFit="1" customWidth="1"/>
    <col min="8" max="8" width="11.7109375" style="95" bestFit="1" customWidth="1"/>
    <col min="9" max="9" width="2.28515625" style="40" customWidth="1"/>
    <col min="10" max="10" width="10.7109375" style="95" customWidth="1"/>
    <col min="11" max="11" width="2.28515625" style="40" customWidth="1"/>
    <col min="12" max="12" width="13.5703125" style="95" bestFit="1" customWidth="1"/>
    <col min="13" max="14" width="9.28515625" style="95" bestFit="1" customWidth="1"/>
    <col min="15" max="15" width="11.7109375" style="95" bestFit="1" customWidth="1"/>
    <col min="16" max="16" width="2.28515625" style="40" customWidth="1"/>
    <col min="17" max="17" width="11.7109375" style="95" bestFit="1" customWidth="1"/>
    <col min="18" max="18" width="2.28515625" style="95" customWidth="1"/>
    <col min="19" max="19" width="9" style="95" bestFit="1" customWidth="1"/>
    <col min="20" max="20" width="8.7109375" style="101" customWidth="1"/>
    <col min="21" max="21" width="2.28515625" style="95" customWidth="1"/>
    <col min="22" max="16384" width="9.140625" style="95"/>
  </cols>
  <sheetData>
    <row r="1" spans="1:20">
      <c r="B1" s="421" t="s">
        <v>334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2"/>
      <c r="Q1" s="422"/>
      <c r="S1" s="280"/>
      <c r="T1" s="102" t="s">
        <v>562</v>
      </c>
    </row>
    <row r="2" spans="1:20">
      <c r="B2" s="421" t="s">
        <v>1009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2"/>
      <c r="Q2" s="422"/>
      <c r="S2" s="281"/>
      <c r="T2" s="102" t="s">
        <v>693</v>
      </c>
    </row>
    <row r="3" spans="1:20">
      <c r="B3" s="421" t="s">
        <v>1000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2"/>
      <c r="Q3" s="422"/>
      <c r="S3" s="281"/>
      <c r="T3" s="102" t="s">
        <v>694</v>
      </c>
    </row>
    <row r="4" spans="1:20">
      <c r="B4" s="421" t="s">
        <v>646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2"/>
      <c r="Q4" s="422"/>
      <c r="R4" s="3"/>
      <c r="S4" s="3"/>
      <c r="T4" s="211"/>
    </row>
    <row r="7" spans="1:20">
      <c r="B7" s="101"/>
      <c r="C7" s="101"/>
      <c r="D7" s="101"/>
      <c r="E7" s="101"/>
      <c r="F7" s="101"/>
      <c r="G7" s="101"/>
      <c r="H7" s="101"/>
      <c r="I7" s="282"/>
      <c r="J7" s="101"/>
      <c r="K7" s="282"/>
      <c r="L7" s="101"/>
      <c r="M7" s="101"/>
      <c r="N7" s="101"/>
      <c r="O7" s="101"/>
      <c r="P7" s="282"/>
      <c r="Q7" s="101" t="s">
        <v>582</v>
      </c>
      <c r="R7" s="101"/>
      <c r="S7" s="101"/>
    </row>
    <row r="8" spans="1:20">
      <c r="B8" s="101"/>
      <c r="C8" s="101"/>
      <c r="D8" s="101"/>
      <c r="E8" s="101"/>
      <c r="F8" s="101"/>
      <c r="G8" s="101"/>
      <c r="H8" s="101"/>
      <c r="I8" s="282"/>
      <c r="J8" s="101" t="s">
        <v>448</v>
      </c>
      <c r="K8" s="282"/>
      <c r="L8" s="101" t="s">
        <v>647</v>
      </c>
      <c r="M8" s="101"/>
      <c r="N8" s="101"/>
      <c r="O8" s="101"/>
      <c r="P8" s="282"/>
      <c r="Q8" s="101" t="s">
        <v>648</v>
      </c>
      <c r="R8" s="101"/>
      <c r="S8" s="101"/>
    </row>
    <row r="9" spans="1:20">
      <c r="B9" s="101"/>
      <c r="C9" s="101"/>
      <c r="D9" s="101"/>
      <c r="E9" s="101"/>
      <c r="F9" s="101"/>
      <c r="G9" s="101"/>
      <c r="H9" s="101"/>
      <c r="I9" s="282"/>
      <c r="J9" s="101" t="s">
        <v>649</v>
      </c>
      <c r="K9" s="282"/>
      <c r="L9" s="101" t="s">
        <v>650</v>
      </c>
      <c r="M9" s="101"/>
      <c r="N9" s="101"/>
      <c r="O9" s="101"/>
      <c r="P9" s="282"/>
      <c r="Q9" s="266" t="s">
        <v>651</v>
      </c>
      <c r="R9" s="266"/>
      <c r="S9" s="266"/>
    </row>
    <row r="10" spans="1:20">
      <c r="B10" s="101"/>
      <c r="C10" s="101"/>
      <c r="D10" s="101"/>
      <c r="E10" s="101"/>
      <c r="F10" s="101"/>
      <c r="G10" s="101" t="s">
        <v>652</v>
      </c>
      <c r="H10" s="101" t="s">
        <v>653</v>
      </c>
      <c r="I10" s="282"/>
      <c r="J10" s="101" t="s">
        <v>654</v>
      </c>
      <c r="K10" s="282"/>
      <c r="L10" s="101" t="s">
        <v>655</v>
      </c>
      <c r="M10" s="101" t="s">
        <v>656</v>
      </c>
      <c r="N10" s="101" t="s">
        <v>657</v>
      </c>
      <c r="O10" s="101" t="s">
        <v>658</v>
      </c>
      <c r="P10" s="282"/>
      <c r="Q10" s="101" t="s">
        <v>659</v>
      </c>
      <c r="R10" s="101"/>
      <c r="S10" s="101" t="s">
        <v>582</v>
      </c>
      <c r="T10" s="101" t="s">
        <v>660</v>
      </c>
    </row>
    <row r="11" spans="1:20">
      <c r="A11" s="101" t="s">
        <v>661</v>
      </c>
      <c r="B11" s="101"/>
      <c r="C11" s="101"/>
      <c r="D11" s="101" t="s">
        <v>662</v>
      </c>
      <c r="E11" s="101" t="s">
        <v>663</v>
      </c>
      <c r="F11" s="101" t="s">
        <v>663</v>
      </c>
      <c r="G11" s="101" t="s">
        <v>664</v>
      </c>
      <c r="H11" s="101" t="s">
        <v>665</v>
      </c>
      <c r="I11" s="282"/>
      <c r="J11" s="101" t="s">
        <v>666</v>
      </c>
      <c r="K11" s="282"/>
      <c r="L11" s="101" t="s">
        <v>667</v>
      </c>
      <c r="M11" s="101" t="s">
        <v>668</v>
      </c>
      <c r="N11" s="101" t="s">
        <v>581</v>
      </c>
      <c r="O11" s="101" t="s">
        <v>665</v>
      </c>
      <c r="P11" s="282"/>
      <c r="Q11" s="101" t="s">
        <v>669</v>
      </c>
      <c r="R11" s="101"/>
      <c r="S11" s="101" t="s">
        <v>670</v>
      </c>
      <c r="T11" s="101" t="s">
        <v>584</v>
      </c>
    </row>
    <row r="12" spans="1:20">
      <c r="A12" s="233" t="s">
        <v>671</v>
      </c>
      <c r="B12" s="233" t="s">
        <v>7</v>
      </c>
      <c r="C12" s="233"/>
      <c r="D12" s="233" t="s">
        <v>672</v>
      </c>
      <c r="E12" s="233" t="s">
        <v>673</v>
      </c>
      <c r="F12" s="233" t="s">
        <v>674</v>
      </c>
      <c r="G12" s="233" t="s">
        <v>675</v>
      </c>
      <c r="H12" s="233" t="s">
        <v>676</v>
      </c>
      <c r="I12" s="283"/>
      <c r="J12" s="233" t="s">
        <v>405</v>
      </c>
      <c r="K12" s="283"/>
      <c r="L12" s="233" t="s">
        <v>677</v>
      </c>
      <c r="M12" s="233" t="s">
        <v>678</v>
      </c>
      <c r="N12" s="233" t="s">
        <v>586</v>
      </c>
      <c r="O12" s="233" t="s">
        <v>679</v>
      </c>
      <c r="P12" s="283"/>
      <c r="Q12" s="233" t="s">
        <v>680</v>
      </c>
      <c r="R12" s="233"/>
      <c r="S12" s="233" t="s">
        <v>651</v>
      </c>
      <c r="T12" s="233" t="s">
        <v>681</v>
      </c>
    </row>
    <row r="13" spans="1:20">
      <c r="A13" s="284">
        <v>-1</v>
      </c>
      <c r="B13" s="284">
        <f>+A13-1</f>
        <v>-2</v>
      </c>
      <c r="C13" s="284"/>
      <c r="D13" s="284">
        <f>+B13-1</f>
        <v>-3</v>
      </c>
      <c r="E13" s="284">
        <f>+D13-1</f>
        <v>-4</v>
      </c>
      <c r="F13" s="284">
        <f t="shared" ref="F13:T13" si="0">+E13-1</f>
        <v>-5</v>
      </c>
      <c r="G13" s="284">
        <f t="shared" si="0"/>
        <v>-6</v>
      </c>
      <c r="H13" s="284">
        <f t="shared" si="0"/>
        <v>-7</v>
      </c>
      <c r="I13" s="285"/>
      <c r="J13" s="284">
        <f>+H13-1</f>
        <v>-8</v>
      </c>
      <c r="K13" s="285"/>
      <c r="L13" s="284">
        <f>+J13-1</f>
        <v>-9</v>
      </c>
      <c r="M13" s="284">
        <f t="shared" si="0"/>
        <v>-10</v>
      </c>
      <c r="N13" s="284">
        <f t="shared" si="0"/>
        <v>-11</v>
      </c>
      <c r="O13" s="284">
        <f t="shared" si="0"/>
        <v>-12</v>
      </c>
      <c r="P13" s="285"/>
      <c r="Q13" s="284">
        <f>+O13-1</f>
        <v>-13</v>
      </c>
      <c r="R13" s="284"/>
      <c r="S13" s="284">
        <f>+Q13-1</f>
        <v>-14</v>
      </c>
      <c r="T13" s="284">
        <f t="shared" si="0"/>
        <v>-15</v>
      </c>
    </row>
    <row r="15" spans="1:20">
      <c r="B15" s="286" t="s">
        <v>684</v>
      </c>
      <c r="D15" s="287"/>
      <c r="E15" s="288"/>
      <c r="F15" s="288"/>
      <c r="G15" s="289"/>
      <c r="H15" s="290"/>
      <c r="I15" s="291"/>
      <c r="J15" s="290"/>
      <c r="K15" s="291"/>
      <c r="L15" s="290"/>
      <c r="M15" s="292"/>
      <c r="N15" s="287"/>
      <c r="O15" s="290"/>
      <c r="P15" s="291"/>
    </row>
    <row r="16" spans="1:20">
      <c r="A16" s="101">
        <v>1</v>
      </c>
      <c r="B16" s="95" t="s">
        <v>685</v>
      </c>
      <c r="D16" s="287">
        <v>5.6250000000000001E-2</v>
      </c>
      <c r="E16" s="293" t="s">
        <v>686</v>
      </c>
      <c r="F16" s="293" t="s">
        <v>687</v>
      </c>
      <c r="G16" s="289">
        <v>29.45</v>
      </c>
      <c r="H16" s="290">
        <v>75000</v>
      </c>
      <c r="I16" s="291"/>
      <c r="J16" s="290">
        <v>736.57500000000005</v>
      </c>
      <c r="K16" s="291"/>
      <c r="L16" s="290">
        <f>+H16-J16</f>
        <v>74263.425000000003</v>
      </c>
      <c r="M16" s="294">
        <f>L16/H16*100</f>
        <v>99.017899999999997</v>
      </c>
      <c r="N16" s="287">
        <v>5.6938999999999997E-2</v>
      </c>
      <c r="O16" s="290">
        <v>75000</v>
      </c>
      <c r="P16" s="291"/>
      <c r="Q16" s="295">
        <f t="shared" ref="Q16:Q25" si="1">ROUND(O16*N16,0)</f>
        <v>4270</v>
      </c>
      <c r="R16" s="295"/>
      <c r="T16" s="101" t="s">
        <v>682</v>
      </c>
    </row>
    <row r="17" spans="1:20">
      <c r="A17" s="101">
        <v>2</v>
      </c>
      <c r="B17" s="95" t="s">
        <v>685</v>
      </c>
      <c r="D17" s="287">
        <v>7.2499999999999995E-2</v>
      </c>
      <c r="E17" s="293" t="s">
        <v>688</v>
      </c>
      <c r="F17" s="293" t="s">
        <v>689</v>
      </c>
      <c r="G17" s="289">
        <v>11.99</v>
      </c>
      <c r="H17" s="290">
        <v>40000</v>
      </c>
      <c r="I17" s="291"/>
      <c r="J17" s="290">
        <v>217.91900000000001</v>
      </c>
      <c r="K17" s="291"/>
      <c r="L17" s="290">
        <f t="shared" ref="L17:L24" si="2">+H17-J17</f>
        <v>39782.080999999998</v>
      </c>
      <c r="M17" s="294">
        <f t="shared" ref="M17:M24" si="3">L17/H17*100</f>
        <v>99.455202499999999</v>
      </c>
      <c r="N17" s="287">
        <v>7.318993E-2</v>
      </c>
      <c r="O17" s="290">
        <v>40000</v>
      </c>
      <c r="P17" s="291"/>
      <c r="Q17" s="295">
        <f t="shared" si="1"/>
        <v>2928</v>
      </c>
      <c r="R17" s="295"/>
      <c r="T17" s="398" t="s">
        <v>682</v>
      </c>
    </row>
    <row r="18" spans="1:20">
      <c r="A18" s="101">
        <v>3</v>
      </c>
      <c r="B18" s="95" t="s">
        <v>685</v>
      </c>
      <c r="D18" s="287">
        <v>8.0299999999999996E-2</v>
      </c>
      <c r="E18" s="293" t="s">
        <v>688</v>
      </c>
      <c r="F18" s="293" t="s">
        <v>690</v>
      </c>
      <c r="G18" s="289">
        <v>20</v>
      </c>
      <c r="H18" s="290">
        <v>30000</v>
      </c>
      <c r="I18" s="291"/>
      <c r="J18" s="290">
        <v>148</v>
      </c>
      <c r="K18" s="291"/>
      <c r="L18" s="290">
        <f t="shared" si="2"/>
        <v>29852</v>
      </c>
      <c r="M18" s="294">
        <f t="shared" si="3"/>
        <v>99.506666666666661</v>
      </c>
      <c r="N18" s="287">
        <v>8.0799999999999997E-2</v>
      </c>
      <c r="O18" s="290">
        <v>30000</v>
      </c>
      <c r="P18" s="291"/>
      <c r="Q18" s="295">
        <f t="shared" si="1"/>
        <v>2424</v>
      </c>
      <c r="R18" s="295"/>
      <c r="T18" s="398" t="s">
        <v>682</v>
      </c>
    </row>
    <row r="19" spans="1:20">
      <c r="A19" s="101">
        <f>A18+1</f>
        <v>4</v>
      </c>
      <c r="B19" s="95" t="s">
        <v>685</v>
      </c>
      <c r="D19" s="287">
        <v>8.1299999999999997E-2</v>
      </c>
      <c r="E19" s="293" t="s">
        <v>688</v>
      </c>
      <c r="F19" s="293" t="s">
        <v>691</v>
      </c>
      <c r="G19" s="289">
        <v>30</v>
      </c>
      <c r="H19" s="290">
        <v>60000</v>
      </c>
      <c r="I19" s="291"/>
      <c r="J19" s="290">
        <v>342</v>
      </c>
      <c r="K19" s="291"/>
      <c r="L19" s="290">
        <f t="shared" si="2"/>
        <v>59658</v>
      </c>
      <c r="M19" s="294">
        <f t="shared" si="3"/>
        <v>99.429999999999993</v>
      </c>
      <c r="N19" s="287">
        <v>8.1809999999999994E-2</v>
      </c>
      <c r="O19" s="290">
        <v>60000</v>
      </c>
      <c r="P19" s="291"/>
      <c r="Q19" s="295">
        <f t="shared" si="1"/>
        <v>4909</v>
      </c>
      <c r="R19" s="295"/>
      <c r="T19" s="398" t="s">
        <v>682</v>
      </c>
    </row>
    <row r="20" spans="1:20">
      <c r="A20" s="101">
        <f>A19+1</f>
        <v>5</v>
      </c>
      <c r="B20" s="95" t="s">
        <v>685</v>
      </c>
      <c r="D20" s="287">
        <v>4.1799999999999997E-2</v>
      </c>
      <c r="E20" s="293" t="s">
        <v>798</v>
      </c>
      <c r="F20" s="293" t="s">
        <v>799</v>
      </c>
      <c r="G20" s="289">
        <v>12</v>
      </c>
      <c r="H20" s="290">
        <v>120000</v>
      </c>
      <c r="I20" s="291"/>
      <c r="J20" s="290">
        <v>638</v>
      </c>
      <c r="K20" s="291"/>
      <c r="L20" s="290">
        <f t="shared" si="2"/>
        <v>119362</v>
      </c>
      <c r="M20" s="294">
        <f t="shared" si="3"/>
        <v>99.468333333333334</v>
      </c>
      <c r="N20" s="287">
        <v>4.2369999999999998E-2</v>
      </c>
      <c r="O20" s="290">
        <v>120000</v>
      </c>
      <c r="P20" s="291"/>
      <c r="Q20" s="295">
        <f t="shared" si="1"/>
        <v>5084</v>
      </c>
      <c r="R20" s="295"/>
      <c r="T20" s="398" t="s">
        <v>682</v>
      </c>
    </row>
    <row r="21" spans="1:20">
      <c r="A21" s="101">
        <f t="shared" ref="A21:A25" si="4">A20+1</f>
        <v>6</v>
      </c>
      <c r="B21" s="95" t="s">
        <v>685</v>
      </c>
      <c r="D21" s="287">
        <v>4.3299999999999998E-2</v>
      </c>
      <c r="E21" s="293" t="s">
        <v>890</v>
      </c>
      <c r="F21" s="293" t="s">
        <v>891</v>
      </c>
      <c r="G21" s="289">
        <v>12</v>
      </c>
      <c r="H21" s="290">
        <v>80000</v>
      </c>
      <c r="I21" s="291"/>
      <c r="J21" s="290">
        <v>415</v>
      </c>
      <c r="K21" s="291"/>
      <c r="L21" s="290">
        <f t="shared" si="2"/>
        <v>79585</v>
      </c>
      <c r="M21" s="294">
        <f t="shared" si="3"/>
        <v>99.481250000000003</v>
      </c>
      <c r="N21" s="287">
        <v>4.3860000000000003E-2</v>
      </c>
      <c r="O21" s="290">
        <v>80000</v>
      </c>
      <c r="P21" s="291"/>
      <c r="Q21" s="295">
        <f t="shared" si="1"/>
        <v>3509</v>
      </c>
      <c r="R21" s="295"/>
      <c r="T21" s="398" t="s">
        <v>682</v>
      </c>
    </row>
    <row r="22" spans="1:20">
      <c r="A22" s="101">
        <f t="shared" si="4"/>
        <v>7</v>
      </c>
      <c r="B22" s="95" t="s">
        <v>685</v>
      </c>
      <c r="D22" s="287">
        <v>3.1300000000000001E-2</v>
      </c>
      <c r="E22" s="293" t="s">
        <v>1031</v>
      </c>
      <c r="F22" s="293" t="s">
        <v>1032</v>
      </c>
      <c r="G22" s="289">
        <v>7</v>
      </c>
      <c r="H22" s="290">
        <v>65000</v>
      </c>
      <c r="I22" s="291"/>
      <c r="J22" s="290">
        <v>225</v>
      </c>
      <c r="K22" s="291"/>
      <c r="L22" s="290">
        <f t="shared" si="2"/>
        <v>64775</v>
      </c>
      <c r="M22" s="294">
        <f t="shared" si="3"/>
        <v>99.653846153846146</v>
      </c>
      <c r="N22" s="287">
        <v>3.1859999999999999E-2</v>
      </c>
      <c r="O22" s="290">
        <v>65000</v>
      </c>
      <c r="P22" s="291"/>
      <c r="Q22" s="295">
        <f t="shared" si="1"/>
        <v>2071</v>
      </c>
      <c r="R22" s="295"/>
      <c r="T22" s="398" t="s">
        <v>682</v>
      </c>
    </row>
    <row r="23" spans="1:20">
      <c r="A23" s="101">
        <f t="shared" si="4"/>
        <v>8</v>
      </c>
      <c r="B23" s="95" t="s">
        <v>685</v>
      </c>
      <c r="D23" s="287">
        <v>3.3500000000000002E-2</v>
      </c>
      <c r="E23" s="293" t="s">
        <v>1031</v>
      </c>
      <c r="F23" s="293" t="s">
        <v>1033</v>
      </c>
      <c r="G23" s="289">
        <v>10</v>
      </c>
      <c r="H23" s="290">
        <v>40000</v>
      </c>
      <c r="I23" s="291"/>
      <c r="J23" s="290">
        <v>139</v>
      </c>
      <c r="K23" s="291"/>
      <c r="L23" s="290">
        <f t="shared" si="2"/>
        <v>39861</v>
      </c>
      <c r="M23" s="294">
        <f t="shared" si="3"/>
        <v>99.652500000000003</v>
      </c>
      <c r="N23" s="287">
        <v>3.3910000000000003E-2</v>
      </c>
      <c r="O23" s="290">
        <v>40000</v>
      </c>
      <c r="P23" s="291"/>
      <c r="Q23" s="295">
        <f t="shared" si="1"/>
        <v>1356</v>
      </c>
      <c r="R23" s="295"/>
      <c r="T23" s="398" t="s">
        <v>682</v>
      </c>
    </row>
    <row r="24" spans="1:20">
      <c r="A24" s="101">
        <f t="shared" si="4"/>
        <v>9</v>
      </c>
      <c r="B24" s="95" t="s">
        <v>685</v>
      </c>
      <c r="D24" s="287">
        <v>3.4500000000000003E-2</v>
      </c>
      <c r="E24" s="293" t="s">
        <v>1031</v>
      </c>
      <c r="F24" s="293" t="s">
        <v>1034</v>
      </c>
      <c r="G24" s="289">
        <v>12</v>
      </c>
      <c r="H24" s="290">
        <v>165000</v>
      </c>
      <c r="I24" s="291"/>
      <c r="J24" s="290">
        <v>572</v>
      </c>
      <c r="K24" s="291"/>
      <c r="L24" s="290">
        <f t="shared" si="2"/>
        <v>164428</v>
      </c>
      <c r="M24" s="294">
        <f t="shared" si="3"/>
        <v>99.653333333333336</v>
      </c>
      <c r="N24" s="287">
        <v>3.4860000000000002E-2</v>
      </c>
      <c r="O24" s="290">
        <v>165000</v>
      </c>
      <c r="P24" s="291"/>
      <c r="Q24" s="295">
        <f t="shared" si="1"/>
        <v>5752</v>
      </c>
      <c r="R24" s="295"/>
      <c r="T24" s="398" t="s">
        <v>682</v>
      </c>
    </row>
    <row r="25" spans="1:20">
      <c r="A25" s="101">
        <f t="shared" si="4"/>
        <v>10</v>
      </c>
      <c r="B25" s="95" t="s">
        <v>685</v>
      </c>
      <c r="D25" s="287">
        <v>4.1200000000000001E-2</v>
      </c>
      <c r="E25" s="293" t="s">
        <v>1031</v>
      </c>
      <c r="F25" s="293" t="s">
        <v>1035</v>
      </c>
      <c r="G25" s="289">
        <v>30</v>
      </c>
      <c r="H25" s="290">
        <v>55000</v>
      </c>
      <c r="I25" s="291"/>
      <c r="J25" s="290">
        <v>191</v>
      </c>
      <c r="K25" s="291"/>
      <c r="L25" s="290">
        <f>+H25-J25</f>
        <v>54809</v>
      </c>
      <c r="M25" s="294">
        <f t="shared" ref="M25" si="5">L25/H25*100</f>
        <v>99.652727272727276</v>
      </c>
      <c r="N25" s="287">
        <v>4.1399999999999999E-2</v>
      </c>
      <c r="O25" s="290">
        <v>55000</v>
      </c>
      <c r="P25" s="291"/>
      <c r="Q25" s="295">
        <f t="shared" si="1"/>
        <v>2277</v>
      </c>
      <c r="R25" s="295"/>
      <c r="T25" s="101" t="s">
        <v>682</v>
      </c>
    </row>
    <row r="26" spans="1:20">
      <c r="D26" s="287"/>
      <c r="E26" s="296"/>
      <c r="F26" s="296"/>
      <c r="G26" s="297"/>
      <c r="H26" s="290"/>
      <c r="I26" s="291"/>
      <c r="L26" s="290"/>
      <c r="M26" s="292"/>
      <c r="N26" s="287"/>
      <c r="O26" s="290"/>
      <c r="P26" s="291"/>
      <c r="Q26" s="298"/>
      <c r="R26" s="40"/>
    </row>
    <row r="27" spans="1:20">
      <c r="A27" s="101">
        <v>11</v>
      </c>
      <c r="B27" s="95" t="s">
        <v>683</v>
      </c>
      <c r="D27" s="265"/>
      <c r="E27" s="265"/>
      <c r="F27" s="265"/>
      <c r="G27" s="297"/>
      <c r="H27" s="299">
        <f>SUM(H16:H26)</f>
        <v>730000</v>
      </c>
      <c r="I27" s="291"/>
      <c r="J27" s="299">
        <f>SUM(J16:J26)</f>
        <v>3624.4940000000001</v>
      </c>
      <c r="K27" s="291"/>
      <c r="L27" s="299">
        <f>SUM(L16:L26)</f>
        <v>726375.50600000005</v>
      </c>
      <c r="M27" s="300"/>
      <c r="N27" s="291"/>
      <c r="O27" s="299">
        <f>SUM(O16:O26)</f>
        <v>730000</v>
      </c>
      <c r="P27" s="291"/>
      <c r="Q27" s="299">
        <f>SUM(Q16:Q26)</f>
        <v>34580</v>
      </c>
      <c r="R27" s="291"/>
    </row>
    <row r="29" spans="1:20">
      <c r="B29" s="301" t="s">
        <v>800</v>
      </c>
    </row>
    <row r="30" spans="1:20">
      <c r="A30" s="101">
        <f>A27+1</f>
        <v>12</v>
      </c>
      <c r="B30" s="89" t="s">
        <v>800</v>
      </c>
      <c r="D30" s="302">
        <v>0.02</v>
      </c>
      <c r="E30" s="303">
        <v>42905</v>
      </c>
      <c r="F30" s="303">
        <v>44001</v>
      </c>
      <c r="G30" s="304">
        <v>3</v>
      </c>
      <c r="H30" s="305">
        <v>65000</v>
      </c>
      <c r="J30" s="305">
        <v>202</v>
      </c>
      <c r="L30" s="306">
        <f>H30-J30</f>
        <v>64798</v>
      </c>
      <c r="M30" s="294">
        <f>L30/H30*100</f>
        <v>99.689230769230775</v>
      </c>
      <c r="N30" s="302">
        <v>2.1080000000000002E-2</v>
      </c>
      <c r="O30" s="305">
        <v>65000</v>
      </c>
      <c r="Q30" s="295">
        <f>ROUND(O30*N30,0)</f>
        <v>1370</v>
      </c>
      <c r="T30" s="398" t="s">
        <v>682</v>
      </c>
    </row>
    <row r="31" spans="1:20">
      <c r="G31" s="101"/>
      <c r="H31" s="307">
        <f>SUM(H30)</f>
        <v>65000</v>
      </c>
      <c r="J31" s="307">
        <f>SUM(J30)</f>
        <v>202</v>
      </c>
      <c r="L31" s="307">
        <f>SUM(L30)</f>
        <v>64798</v>
      </c>
      <c r="O31" s="307">
        <f>SUM(O30)</f>
        <v>65000</v>
      </c>
      <c r="Q31" s="299">
        <f>SUM(Q30)</f>
        <v>1370</v>
      </c>
    </row>
    <row r="32" spans="1:20">
      <c r="G32" s="101"/>
    </row>
    <row r="33" spans="1:20">
      <c r="A33" s="256"/>
      <c r="B33" s="308" t="s">
        <v>892</v>
      </c>
      <c r="C33" s="256"/>
      <c r="D33" s="256"/>
      <c r="E33" s="256"/>
      <c r="F33" s="256"/>
      <c r="G33" s="309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</row>
    <row r="34" spans="1:20">
      <c r="A34" s="309">
        <v>10</v>
      </c>
      <c r="B34" s="205" t="s">
        <v>848</v>
      </c>
      <c r="C34" s="256"/>
      <c r="D34" s="310">
        <v>2.4199999999999999E-2</v>
      </c>
      <c r="E34" s="311">
        <v>41948</v>
      </c>
      <c r="F34" s="311">
        <v>43409</v>
      </c>
      <c r="G34" s="304">
        <v>4</v>
      </c>
      <c r="H34" s="312">
        <v>75000</v>
      </c>
      <c r="I34" s="256"/>
      <c r="J34" s="312">
        <v>509</v>
      </c>
      <c r="K34" s="256"/>
      <c r="L34" s="313">
        <v>74491</v>
      </c>
      <c r="M34" s="314">
        <v>99.32</v>
      </c>
      <c r="N34" s="310">
        <v>2.5950000000000001E-2</v>
      </c>
      <c r="O34" s="315">
        <v>75000</v>
      </c>
      <c r="P34" s="256"/>
      <c r="Q34" s="295">
        <f>ROUND(O34*N34,0)</f>
        <v>1946</v>
      </c>
      <c r="R34" s="256"/>
      <c r="S34" s="256"/>
      <c r="T34" s="309" t="s">
        <v>682</v>
      </c>
    </row>
    <row r="35" spans="1:20">
      <c r="A35" s="256"/>
      <c r="B35" s="256"/>
      <c r="C35" s="256"/>
      <c r="D35" s="256"/>
      <c r="E35" s="256"/>
      <c r="F35" s="256"/>
      <c r="G35" s="309"/>
      <c r="H35" s="316">
        <f>SUM(H34)</f>
        <v>75000</v>
      </c>
      <c r="I35" s="256"/>
      <c r="J35" s="316">
        <f>SUM(J34)</f>
        <v>509</v>
      </c>
      <c r="K35" s="256"/>
      <c r="L35" s="316">
        <f>SUM(L34)</f>
        <v>74491</v>
      </c>
      <c r="M35" s="256"/>
      <c r="N35" s="256"/>
      <c r="O35" s="317">
        <f>SUM(O34)</f>
        <v>75000</v>
      </c>
      <c r="P35" s="256"/>
      <c r="Q35" s="317">
        <f>SUM(Q34)</f>
        <v>1946</v>
      </c>
      <c r="R35" s="256"/>
      <c r="S35" s="256"/>
      <c r="T35" s="256"/>
    </row>
    <row r="36" spans="1:20">
      <c r="O36" s="290"/>
      <c r="P36" s="291"/>
      <c r="T36" s="420"/>
    </row>
    <row r="37" spans="1:20" ht="13.5" customHeight="1" thickBot="1">
      <c r="A37" s="101">
        <v>15</v>
      </c>
      <c r="B37" s="95" t="s">
        <v>692</v>
      </c>
      <c r="H37" s="318">
        <f>H35+H31+H27</f>
        <v>870000</v>
      </c>
      <c r="I37" s="291"/>
      <c r="J37" s="318">
        <f>J35+J31+J27</f>
        <v>4335.4940000000006</v>
      </c>
      <c r="K37" s="291"/>
      <c r="L37" s="318">
        <f>L35+L31+L27</f>
        <v>865664.50600000005</v>
      </c>
      <c r="O37" s="318">
        <f>O35+O31+O27</f>
        <v>870000</v>
      </c>
      <c r="P37" s="291"/>
      <c r="Q37" s="318">
        <f>Q35+Q31+Q27</f>
        <v>37896</v>
      </c>
      <c r="R37" s="291"/>
      <c r="S37" s="319">
        <f>ROUND(Q37/O37,4)</f>
        <v>4.36E-2</v>
      </c>
      <c r="T37" s="420"/>
    </row>
    <row r="38" spans="1:20" ht="13.5" customHeight="1" thickTop="1">
      <c r="T38" s="420"/>
    </row>
    <row r="39" spans="1:20" ht="14.25" customHeight="1">
      <c r="A39" s="320"/>
      <c r="T39" s="420"/>
    </row>
    <row r="40" spans="1:20">
      <c r="B40" s="256"/>
      <c r="T40" s="420"/>
    </row>
    <row r="41" spans="1:20">
      <c r="T41" s="420"/>
    </row>
    <row r="42" spans="1:20" ht="18" customHeight="1">
      <c r="T42" s="420"/>
    </row>
    <row r="43" spans="1:20" ht="16.5" customHeight="1">
      <c r="T43" s="241"/>
    </row>
  </sheetData>
  <mergeCells count="5">
    <mergeCell ref="T36:T42"/>
    <mergeCell ref="B1:Q1"/>
    <mergeCell ref="B2:Q2"/>
    <mergeCell ref="B3:Q3"/>
    <mergeCell ref="B4:Q4"/>
  </mergeCells>
  <printOptions horizontalCentered="1"/>
  <pageMargins left="0" right="0" top="1" bottom="0.5" header="0" footer="0"/>
  <pageSetup scale="8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Normal="100" workbookViewId="0">
      <pane ySplit="8" topLeftCell="A21" activePane="bottomLeft" state="frozen"/>
      <selection activeCell="L31" sqref="L31"/>
      <selection pane="bottomLeft" activeCell="F41" sqref="F41"/>
    </sheetView>
  </sheetViews>
  <sheetFormatPr defaultColWidth="9.140625" defaultRowHeight="12.75"/>
  <cols>
    <col min="1" max="1" width="7.7109375" style="101" customWidth="1"/>
    <col min="2" max="2" width="2.28515625" style="95" customWidth="1"/>
    <col min="3" max="3" width="12.28515625" style="41" customWidth="1"/>
    <col min="4" max="4" width="7" style="95" customWidth="1"/>
    <col min="5" max="5" width="39.5703125" style="95" bestFit="1" customWidth="1"/>
    <col min="6" max="6" width="17" style="95" customWidth="1"/>
    <col min="7" max="7" width="3.7109375" style="95" customWidth="1"/>
    <col min="8" max="16384" width="9.140625" style="95"/>
  </cols>
  <sheetData>
    <row r="1" spans="1:6">
      <c r="B1" s="423" t="s">
        <v>334</v>
      </c>
      <c r="C1" s="423"/>
      <c r="D1" s="423"/>
      <c r="E1" s="423"/>
      <c r="F1" s="102" t="s">
        <v>562</v>
      </c>
    </row>
    <row r="2" spans="1:6">
      <c r="B2" s="423" t="s">
        <v>1010</v>
      </c>
      <c r="C2" s="423"/>
      <c r="D2" s="423"/>
      <c r="E2" s="423"/>
      <c r="F2" s="102" t="s">
        <v>693</v>
      </c>
    </row>
    <row r="3" spans="1:6">
      <c r="B3" s="423" t="s">
        <v>1000</v>
      </c>
      <c r="C3" s="423"/>
      <c r="D3" s="423"/>
      <c r="E3" s="423"/>
      <c r="F3" s="102" t="s">
        <v>986</v>
      </c>
    </row>
    <row r="4" spans="1:6">
      <c r="E4" s="265"/>
    </row>
    <row r="5" spans="1:6">
      <c r="E5" s="265"/>
    </row>
    <row r="6" spans="1:6">
      <c r="E6" s="296"/>
    </row>
    <row r="7" spans="1:6" ht="38.25">
      <c r="A7" s="321" t="s">
        <v>564</v>
      </c>
      <c r="C7" s="101" t="s">
        <v>695</v>
      </c>
      <c r="D7" s="101" t="s">
        <v>696</v>
      </c>
      <c r="E7" s="322"/>
      <c r="F7" s="321" t="s">
        <v>697</v>
      </c>
    </row>
    <row r="8" spans="1:6">
      <c r="A8" s="323">
        <v>-1</v>
      </c>
      <c r="C8" s="324">
        <f>+A8-1</f>
        <v>-2</v>
      </c>
      <c r="D8" s="324">
        <f>+C8-1</f>
        <v>-3</v>
      </c>
      <c r="E8" s="322"/>
      <c r="F8" s="324">
        <f>+D8-1</f>
        <v>-4</v>
      </c>
    </row>
    <row r="9" spans="1:6">
      <c r="A9" s="324"/>
      <c r="C9" s="325"/>
      <c r="D9" s="296"/>
      <c r="E9" s="296"/>
    </row>
    <row r="10" spans="1:6">
      <c r="A10" s="324">
        <v>1</v>
      </c>
      <c r="C10" s="326" t="s">
        <v>470</v>
      </c>
      <c r="D10" s="101">
        <v>2016</v>
      </c>
      <c r="E10" s="296"/>
      <c r="F10" s="290">
        <v>15789997</v>
      </c>
    </row>
    <row r="11" spans="1:6">
      <c r="A11" s="324"/>
      <c r="C11" s="95"/>
      <c r="D11" s="101"/>
      <c r="E11" s="296"/>
      <c r="F11" s="290"/>
    </row>
    <row r="12" spans="1:6">
      <c r="A12" s="324">
        <f>+A10+1</f>
        <v>2</v>
      </c>
      <c r="C12" s="326" t="s">
        <v>458</v>
      </c>
      <c r="D12" s="101">
        <v>2016</v>
      </c>
      <c r="E12" s="296"/>
      <c r="F12" s="290">
        <v>6327114</v>
      </c>
    </row>
    <row r="13" spans="1:6">
      <c r="A13" s="324"/>
      <c r="C13" s="95"/>
      <c r="D13" s="101"/>
      <c r="E13" s="296"/>
      <c r="F13" s="290"/>
    </row>
    <row r="14" spans="1:6">
      <c r="A14" s="324">
        <f>+A12+1</f>
        <v>3</v>
      </c>
      <c r="C14" s="326" t="s">
        <v>460</v>
      </c>
      <c r="D14" s="101">
        <v>2016</v>
      </c>
      <c r="E14" s="296"/>
      <c r="F14" s="290">
        <v>15971610</v>
      </c>
    </row>
    <row r="15" spans="1:6">
      <c r="A15" s="324"/>
      <c r="C15" s="95"/>
      <c r="D15" s="101"/>
      <c r="E15" s="296"/>
      <c r="F15" s="290"/>
    </row>
    <row r="16" spans="1:6">
      <c r="A16" s="324">
        <f>+A14+1</f>
        <v>4</v>
      </c>
      <c r="C16" s="326" t="s">
        <v>461</v>
      </c>
      <c r="D16" s="101">
        <v>2016</v>
      </c>
      <c r="E16" s="296"/>
      <c r="F16" s="290">
        <v>16274466</v>
      </c>
    </row>
    <row r="17" spans="1:6">
      <c r="A17" s="324"/>
      <c r="C17" s="95"/>
      <c r="D17" s="101"/>
      <c r="E17" s="296"/>
      <c r="F17" s="290"/>
    </row>
    <row r="18" spans="1:6">
      <c r="A18" s="324">
        <f>+A16+1</f>
        <v>5</v>
      </c>
      <c r="C18" s="326" t="s">
        <v>462</v>
      </c>
      <c r="D18" s="101">
        <v>2016</v>
      </c>
      <c r="E18" s="296"/>
      <c r="F18" s="290">
        <v>1318074</v>
      </c>
    </row>
    <row r="19" spans="1:6">
      <c r="A19" s="324"/>
      <c r="C19" s="95"/>
      <c r="E19" s="296"/>
      <c r="F19" s="290"/>
    </row>
    <row r="20" spans="1:6">
      <c r="A20" s="324">
        <f>+A18+1</f>
        <v>6</v>
      </c>
      <c r="C20" s="326" t="s">
        <v>463</v>
      </c>
      <c r="D20" s="101">
        <v>2016</v>
      </c>
      <c r="E20" s="296"/>
      <c r="F20" s="290">
        <v>1720423.49</v>
      </c>
    </row>
    <row r="21" spans="1:6">
      <c r="A21" s="324"/>
      <c r="C21" s="95"/>
      <c r="E21" s="296"/>
      <c r="F21" s="290"/>
    </row>
    <row r="22" spans="1:6">
      <c r="A22" s="324">
        <f>+A20+1</f>
        <v>7</v>
      </c>
      <c r="C22" s="326" t="s">
        <v>464</v>
      </c>
      <c r="D22" s="101">
        <v>2016</v>
      </c>
      <c r="E22" s="296"/>
      <c r="F22" s="290">
        <v>11383796.130000001</v>
      </c>
    </row>
    <row r="23" spans="1:6">
      <c r="A23" s="324"/>
      <c r="C23" s="95"/>
      <c r="E23" s="296"/>
      <c r="F23" s="290"/>
    </row>
    <row r="24" spans="1:6">
      <c r="A24" s="324">
        <f>+A22+1</f>
        <v>8</v>
      </c>
      <c r="C24" s="326" t="s">
        <v>465</v>
      </c>
      <c r="D24" s="101">
        <v>2016</v>
      </c>
      <c r="E24" s="296"/>
      <c r="F24" s="290">
        <v>17177767.739999998</v>
      </c>
    </row>
    <row r="25" spans="1:6">
      <c r="A25" s="324"/>
      <c r="C25" s="95"/>
      <c r="E25" s="296"/>
      <c r="F25" s="290"/>
    </row>
    <row r="26" spans="1:6">
      <c r="A26" s="324">
        <f>+A24+1</f>
        <v>9</v>
      </c>
      <c r="C26" s="102" t="s">
        <v>466</v>
      </c>
      <c r="D26" s="101">
        <v>2016</v>
      </c>
      <c r="E26" s="296"/>
      <c r="F26" s="290">
        <v>13878008.48</v>
      </c>
    </row>
    <row r="27" spans="1:6">
      <c r="A27" s="324"/>
      <c r="C27" s="95"/>
      <c r="E27" s="296"/>
      <c r="F27" s="290"/>
    </row>
    <row r="28" spans="1:6">
      <c r="A28" s="324">
        <f>+A26+1</f>
        <v>10</v>
      </c>
      <c r="C28" s="326" t="s">
        <v>467</v>
      </c>
      <c r="D28" s="101">
        <v>2016</v>
      </c>
      <c r="F28" s="290">
        <v>1807118.36</v>
      </c>
    </row>
    <row r="29" spans="1:6">
      <c r="A29" s="324"/>
      <c r="C29" s="95"/>
      <c r="E29" s="296"/>
      <c r="F29" s="290"/>
    </row>
    <row r="30" spans="1:6">
      <c r="A30" s="324">
        <f>+A28+1</f>
        <v>11</v>
      </c>
      <c r="C30" s="102" t="s">
        <v>468</v>
      </c>
      <c r="D30" s="101">
        <v>2017</v>
      </c>
      <c r="E30" s="296"/>
      <c r="F30" s="290">
        <v>0</v>
      </c>
    </row>
    <row r="31" spans="1:6">
      <c r="A31" s="324"/>
      <c r="C31" s="95"/>
      <c r="E31" s="296"/>
      <c r="F31" s="290"/>
    </row>
    <row r="32" spans="1:6">
      <c r="A32" s="324">
        <f>+A30+1</f>
        <v>12</v>
      </c>
      <c r="C32" s="326" t="s">
        <v>469</v>
      </c>
      <c r="D32" s="101">
        <v>2017</v>
      </c>
      <c r="F32" s="290">
        <v>1022872</v>
      </c>
    </row>
    <row r="33" spans="1:7">
      <c r="A33" s="324"/>
      <c r="D33" s="296"/>
      <c r="F33" s="327" t="s">
        <v>698</v>
      </c>
    </row>
    <row r="34" spans="1:7">
      <c r="A34" s="324">
        <f>+A32+1</f>
        <v>13</v>
      </c>
      <c r="C34" s="41" t="s">
        <v>448</v>
      </c>
      <c r="F34" s="290">
        <f>SUM(F10:F33)</f>
        <v>102671247.2</v>
      </c>
    </row>
    <row r="35" spans="1:7">
      <c r="A35" s="324"/>
      <c r="F35" s="327" t="s">
        <v>698</v>
      </c>
    </row>
    <row r="36" spans="1:7">
      <c r="A36" s="324">
        <f>+A34+1</f>
        <v>14</v>
      </c>
      <c r="C36" s="41" t="s">
        <v>699</v>
      </c>
      <c r="F36" s="290">
        <f>ROUND(F34/12,0)</f>
        <v>8555937</v>
      </c>
    </row>
    <row r="37" spans="1:7">
      <c r="A37" s="324"/>
      <c r="F37" s="327" t="s">
        <v>698</v>
      </c>
    </row>
    <row r="38" spans="1:7">
      <c r="A38" s="324">
        <f>+A36+1</f>
        <v>15</v>
      </c>
      <c r="C38" s="41" t="s">
        <v>893</v>
      </c>
      <c r="F38" s="290">
        <v>68216</v>
      </c>
      <c r="G38" s="118"/>
    </row>
    <row r="39" spans="1:7">
      <c r="A39" s="324"/>
      <c r="F39" s="327" t="s">
        <v>698</v>
      </c>
    </row>
    <row r="40" spans="1:7">
      <c r="A40" s="324">
        <f>+A38+1</f>
        <v>16</v>
      </c>
      <c r="C40" s="41" t="s">
        <v>700</v>
      </c>
      <c r="F40" s="88"/>
    </row>
    <row r="41" spans="1:7">
      <c r="A41" s="324"/>
      <c r="C41" s="41" t="s">
        <v>701</v>
      </c>
      <c r="F41" s="292">
        <f>ROUND(F38/F36,4)</f>
        <v>8.0000000000000002E-3</v>
      </c>
    </row>
    <row r="42" spans="1:7">
      <c r="F42" s="327" t="s">
        <v>702</v>
      </c>
    </row>
    <row r="43" spans="1:7">
      <c r="F43" s="327"/>
    </row>
    <row r="44" spans="1:7">
      <c r="F44" s="88"/>
    </row>
    <row r="45" spans="1:7">
      <c r="F45" s="88"/>
    </row>
    <row r="46" spans="1:7">
      <c r="A46" s="118"/>
      <c r="C46" s="119"/>
      <c r="F46" s="88"/>
    </row>
    <row r="47" spans="1:7">
      <c r="A47" s="118"/>
      <c r="C47" s="119"/>
      <c r="F47" s="88"/>
    </row>
    <row r="48" spans="1:7">
      <c r="A48" s="118"/>
      <c r="C48" s="120"/>
      <c r="F48" s="88"/>
    </row>
    <row r="49" spans="1:6">
      <c r="A49" s="118"/>
      <c r="C49" s="120"/>
      <c r="F49" s="88"/>
    </row>
    <row r="50" spans="1:6">
      <c r="F50" s="121"/>
    </row>
    <row r="51" spans="1:6">
      <c r="F51" s="265"/>
    </row>
    <row r="52" spans="1:6">
      <c r="F52" s="121"/>
    </row>
    <row r="53" spans="1:6">
      <c r="F53" s="265"/>
    </row>
    <row r="54" spans="1:6">
      <c r="F54" s="121"/>
    </row>
    <row r="56" spans="1:6">
      <c r="F56" s="121"/>
    </row>
    <row r="57" spans="1:6">
      <c r="F57" s="121"/>
    </row>
    <row r="58" spans="1:6">
      <c r="F58" s="121"/>
    </row>
    <row r="59" spans="1:6">
      <c r="F59" s="265"/>
    </row>
    <row r="60" spans="1:6">
      <c r="F60" s="121"/>
    </row>
    <row r="61" spans="1:6">
      <c r="F61" s="265"/>
    </row>
  </sheetData>
  <mergeCells count="3">
    <mergeCell ref="B1:E1"/>
    <mergeCell ref="B2:E2"/>
    <mergeCell ref="B3:E3"/>
  </mergeCells>
  <printOptions horizontalCentered="1"/>
  <pageMargins left="0" right="0" top="0.75" bottom="0" header="0" footer="0"/>
  <pageSetup scale="90" orientation="portrait" horizontalDpi="300" verticalDpi="300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Summary</vt:lpstr>
      <vt:lpstr>Sch 1</vt:lpstr>
      <vt:lpstr>Sch 2</vt:lpstr>
      <vt:lpstr>2 P1</vt:lpstr>
      <vt:lpstr>2 P2</vt:lpstr>
      <vt:lpstr>2 P3</vt:lpstr>
      <vt:lpstr>Sch 3</vt:lpstr>
      <vt:lpstr>3 P1</vt:lpstr>
      <vt:lpstr>3 P2</vt:lpstr>
      <vt:lpstr>3 P3</vt:lpstr>
      <vt:lpstr>Sch 4</vt:lpstr>
      <vt:lpstr>Sch 5</vt:lpstr>
      <vt:lpstr>Sch 6</vt:lpstr>
      <vt:lpstr>Sch 7</vt:lpstr>
      <vt:lpstr>Sch 8</vt:lpstr>
      <vt:lpstr>Sch 9</vt:lpstr>
      <vt:lpstr>Sch 10</vt:lpstr>
      <vt:lpstr>Allocation Factors</vt:lpstr>
      <vt:lpstr>Olive Hill - Vanceburg</vt:lpstr>
      <vt:lpstr>'3 P2'!Print_Area</vt:lpstr>
      <vt:lpstr>'3 P3'!Print_Area</vt:lpstr>
      <vt:lpstr>'Allocation Factors'!Print_Area</vt:lpstr>
      <vt:lpstr>'Sch 1'!Print_Area</vt:lpstr>
      <vt:lpstr>'Sch 10'!Print_Area</vt:lpstr>
      <vt:lpstr>'Sch 3'!Print_Area</vt:lpstr>
      <vt:lpstr>'Sch 4'!Print_Area</vt:lpstr>
      <vt:lpstr>'Sch 5'!Print_Area</vt:lpstr>
      <vt:lpstr>'Sch 6'!Print_Area</vt:lpstr>
      <vt:lpstr>'Sch 8'!Print_Area</vt:lpstr>
      <vt:lpstr>'Sch 9'!Print_Area</vt:lpstr>
      <vt:lpstr>Summary!Print_Area</vt:lpstr>
      <vt:lpstr>'3 P2'!Print_Titles</vt:lpstr>
      <vt:lpstr>'Sch 1'!Print_Titles</vt:lpstr>
      <vt:lpstr>'Sch 4'!Print_Titles</vt:lpstr>
      <vt:lpstr>'Sch 5'!Print_Titles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s207409</cp:lastModifiedBy>
  <cp:lastPrinted>2017-06-23T16:55:05Z</cp:lastPrinted>
  <dcterms:created xsi:type="dcterms:W3CDTF">2014-01-30T18:45:48Z</dcterms:created>
  <dcterms:modified xsi:type="dcterms:W3CDTF">2018-04-05T18:55:25Z</dcterms:modified>
</cp:coreProperties>
</file>